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N:\Planning\GRANTS\Applications or other grant materials\2024 Grants\PID 2024\FINAL DOCS\"/>
    </mc:Choice>
  </mc:AlternateContent>
  <xr:revisionPtr revIDLastSave="0" documentId="8_{2F050FC9-ED34-4777-8825-B59CA7303141}" xr6:coauthVersionLast="47" xr6:coauthVersionMax="47" xr10:uidLastSave="{00000000-0000-0000-0000-000000000000}"/>
  <bookViews>
    <workbookView xWindow="28680" yWindow="-120" windowWidth="29040" windowHeight="15840" firstSheet="1" activeTab="1" xr2:uid="{E1F7DABD-BC59-47B0-B9BF-7D86AADA01B7}"/>
  </bookViews>
  <sheets>
    <sheet name="Sheet1" sheetId="1" state="hidden" r:id="rId1"/>
    <sheet name="Summary" sheetId="8" r:id="rId2"/>
    <sheet name="Benefits Summary Tab" sheetId="15" r:id="rId3"/>
    <sheet name="Inputs &amp; Parameters" sheetId="4" r:id="rId4"/>
    <sheet name="NPV" sheetId="3" r:id="rId5"/>
    <sheet name="Capital Costs" sheetId="7" r:id="rId6"/>
    <sheet name="Barge - Liquid" sheetId="14" r:id="rId7"/>
    <sheet name="Truck Diversion (No Build)- Dry" sheetId="6" r:id="rId8"/>
    <sheet name="Rail Diversion (No Build) - Dry" sheetId="5" r:id="rId9"/>
    <sheet name="Barge (Build) - Dry" sheetId="9" r:id="rId10"/>
    <sheet name="Barge (Build) - Liquid" sheetId="13" state="hidden" r:id="rId11"/>
    <sheet name="BCA - Liquid" sheetId="10" state="hidden" r:id="rId12"/>
    <sheet name="Team Note (delete when done)" sheetId="11"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6" l="1"/>
  <c r="C42" i="5"/>
  <c r="C43" i="5"/>
  <c r="C44" i="5"/>
  <c r="C45" i="5"/>
  <c r="C46" i="5"/>
  <c r="C47" i="5"/>
  <c r="C48" i="5"/>
  <c r="C49" i="5"/>
  <c r="C50" i="5"/>
  <c r="C51" i="5"/>
  <c r="C52" i="5"/>
  <c r="C53" i="5"/>
  <c r="C54" i="5"/>
  <c r="C55" i="5"/>
  <c r="C56" i="5"/>
  <c r="C57" i="5"/>
  <c r="C58" i="5"/>
  <c r="C59" i="5"/>
  <c r="C60" i="5"/>
  <c r="C41" i="5"/>
  <c r="N41" i="5" s="1"/>
  <c r="I41" i="5"/>
  <c r="H24" i="6"/>
  <c r="N78" i="14" l="1"/>
  <c r="B61" i="14" l="1"/>
  <c r="N82" i="14" s="1"/>
  <c r="F9" i="15" s="1"/>
  <c r="N125" i="14"/>
  <c r="O125" i="14"/>
  <c r="N97" i="14" l="1"/>
  <c r="F24" i="15" s="1"/>
  <c r="N89" i="14"/>
  <c r="F16" i="15" s="1"/>
  <c r="N81" i="14"/>
  <c r="F8" i="15" s="1"/>
  <c r="N96" i="14"/>
  <c r="F23" i="15" s="1"/>
  <c r="N87" i="14"/>
  <c r="F14" i="15" s="1"/>
  <c r="N86" i="14"/>
  <c r="F13" i="15" s="1"/>
  <c r="N93" i="14"/>
  <c r="F20" i="15" s="1"/>
  <c r="N85" i="14"/>
  <c r="F12" i="15" s="1"/>
  <c r="N88" i="14"/>
  <c r="F15" i="15" s="1"/>
  <c r="N80" i="14"/>
  <c r="F7" i="15" s="1"/>
  <c r="N95" i="14"/>
  <c r="F22" i="15" s="1"/>
  <c r="N79" i="14"/>
  <c r="F6" i="15" s="1"/>
  <c r="N94" i="14"/>
  <c r="F21" i="15" s="1"/>
  <c r="N92" i="14"/>
  <c r="F19" i="15" s="1"/>
  <c r="N84" i="14"/>
  <c r="F11" i="15" s="1"/>
  <c r="N91" i="14"/>
  <c r="F18" i="15" s="1"/>
  <c r="N83" i="14"/>
  <c r="F10" i="15" s="1"/>
  <c r="F5" i="15"/>
  <c r="N90" i="14"/>
  <c r="F17" i="15" s="1"/>
  <c r="F25" i="15" l="1"/>
  <c r="H25" i="6" l="1"/>
  <c r="H26" i="6"/>
  <c r="H27" i="6"/>
  <c r="H28" i="6"/>
  <c r="H29" i="6"/>
  <c r="H30" i="6"/>
  <c r="H31" i="6"/>
  <c r="H32" i="6"/>
  <c r="H33" i="6"/>
  <c r="H34" i="6"/>
  <c r="H35" i="6"/>
  <c r="H36" i="6"/>
  <c r="H37" i="6"/>
  <c r="H38" i="6"/>
  <c r="H39" i="6"/>
  <c r="H40" i="6"/>
  <c r="H41" i="6"/>
  <c r="H42" i="6"/>
  <c r="H43" i="6"/>
  <c r="I42" i="5"/>
  <c r="I43" i="5"/>
  <c r="I44" i="5"/>
  <c r="I45" i="5"/>
  <c r="I46" i="5"/>
  <c r="K46" i="5" s="1"/>
  <c r="I47" i="5"/>
  <c r="I48" i="5"/>
  <c r="I49" i="5"/>
  <c r="I50" i="5"/>
  <c r="K50" i="5" s="1"/>
  <c r="I51" i="5"/>
  <c r="I52" i="5"/>
  <c r="I53" i="5"/>
  <c r="I54" i="5"/>
  <c r="K54" i="5" s="1"/>
  <c r="I55" i="5"/>
  <c r="I56" i="5"/>
  <c r="I57" i="5"/>
  <c r="J57" i="5" s="1"/>
  <c r="L57" i="5" s="1"/>
  <c r="I58" i="5"/>
  <c r="J58" i="5" s="1"/>
  <c r="L58" i="5" s="1"/>
  <c r="I59" i="5"/>
  <c r="I60" i="5"/>
  <c r="H60" i="9"/>
  <c r="I60" i="9" s="1"/>
  <c r="H61" i="9"/>
  <c r="H62" i="9"/>
  <c r="H63" i="9"/>
  <c r="H64" i="9"/>
  <c r="H65" i="9"/>
  <c r="H66" i="9"/>
  <c r="I66" i="9" s="1"/>
  <c r="H67" i="9"/>
  <c r="H68" i="9"/>
  <c r="I68" i="9" s="1"/>
  <c r="H69" i="9"/>
  <c r="H70" i="9"/>
  <c r="H71" i="9"/>
  <c r="H72" i="9"/>
  <c r="H73" i="9"/>
  <c r="H74" i="9"/>
  <c r="I74" i="9" s="1"/>
  <c r="H75" i="9"/>
  <c r="H76" i="9"/>
  <c r="I76" i="9" s="1"/>
  <c r="H77" i="9"/>
  <c r="H78" i="9"/>
  <c r="H79" i="9"/>
  <c r="K48" i="5"/>
  <c r="J56" i="5"/>
  <c r="L56" i="5" s="1"/>
  <c r="K41" i="5"/>
  <c r="I24" i="6"/>
  <c r="B10" i="6"/>
  <c r="H55" i="6" s="1"/>
  <c r="I55" i="6" s="1"/>
  <c r="I61" i="9"/>
  <c r="I62" i="9"/>
  <c r="I63" i="9"/>
  <c r="I64" i="9"/>
  <c r="I65" i="9"/>
  <c r="I67" i="9"/>
  <c r="I69" i="9"/>
  <c r="I70" i="9"/>
  <c r="I71" i="9"/>
  <c r="I72" i="9"/>
  <c r="I73" i="9"/>
  <c r="I75" i="9"/>
  <c r="I77" i="9"/>
  <c r="I78" i="9"/>
  <c r="I79" i="9"/>
  <c r="K42" i="5"/>
  <c r="K43" i="5"/>
  <c r="K44" i="5"/>
  <c r="K45" i="5"/>
  <c r="K47" i="5"/>
  <c r="K51" i="5"/>
  <c r="K52" i="5"/>
  <c r="K53" i="5"/>
  <c r="K55" i="5"/>
  <c r="K56" i="5"/>
  <c r="K58" i="5"/>
  <c r="K59" i="5"/>
  <c r="K60" i="5"/>
  <c r="J42" i="5"/>
  <c r="L42" i="5" s="1"/>
  <c r="J43" i="5"/>
  <c r="L43" i="5" s="1"/>
  <c r="J44" i="5"/>
  <c r="L44" i="5" s="1"/>
  <c r="J45" i="5"/>
  <c r="L45" i="5" s="1"/>
  <c r="J47" i="5"/>
  <c r="L47" i="5" s="1"/>
  <c r="J51" i="5"/>
  <c r="L51" i="5" s="1"/>
  <c r="J52" i="5"/>
  <c r="L52" i="5" s="1"/>
  <c r="J53" i="5"/>
  <c r="L53" i="5" s="1"/>
  <c r="J54" i="5"/>
  <c r="L54" i="5" s="1"/>
  <c r="J55" i="5"/>
  <c r="L55" i="5" s="1"/>
  <c r="J59" i="5"/>
  <c r="L59" i="5" s="1"/>
  <c r="J60" i="5"/>
  <c r="L60" i="5" s="1"/>
  <c r="B24" i="6"/>
  <c r="B25" i="6"/>
  <c r="B26" i="6"/>
  <c r="B27" i="6"/>
  <c r="B28" i="6"/>
  <c r="B29" i="6"/>
  <c r="B30" i="6"/>
  <c r="B31" i="6"/>
  <c r="B32" i="6"/>
  <c r="B33" i="6"/>
  <c r="B34" i="6"/>
  <c r="B35" i="6"/>
  <c r="B36" i="6"/>
  <c r="B37" i="6"/>
  <c r="B38" i="6"/>
  <c r="B39" i="6"/>
  <c r="B40" i="6"/>
  <c r="B41" i="6"/>
  <c r="B42" i="6"/>
  <c r="B43" i="6"/>
  <c r="B49" i="6"/>
  <c r="B50" i="6"/>
  <c r="B51" i="6"/>
  <c r="B52" i="6"/>
  <c r="B53" i="6"/>
  <c r="B54" i="6"/>
  <c r="B55" i="6"/>
  <c r="B56" i="6"/>
  <c r="B57" i="6"/>
  <c r="B58" i="6"/>
  <c r="B59" i="6"/>
  <c r="B60" i="6"/>
  <c r="B61" i="6"/>
  <c r="B62" i="6"/>
  <c r="B63" i="6"/>
  <c r="B64" i="6"/>
  <c r="B65" i="6"/>
  <c r="B66" i="6"/>
  <c r="B67" i="6"/>
  <c r="B68" i="6"/>
  <c r="B6" i="6"/>
  <c r="R5" i="15"/>
  <c r="B65" i="14"/>
  <c r="J111" i="14" s="1"/>
  <c r="J93" i="14" l="1"/>
  <c r="J87" i="14"/>
  <c r="J86" i="14"/>
  <c r="J116" i="14"/>
  <c r="J117" i="14"/>
  <c r="J110" i="14"/>
  <c r="J85" i="14"/>
  <c r="E12" i="15" s="1"/>
  <c r="J109" i="14"/>
  <c r="J105" i="14"/>
  <c r="J124" i="14"/>
  <c r="J79" i="14"/>
  <c r="J108" i="14"/>
  <c r="J95" i="14"/>
  <c r="J94" i="14"/>
  <c r="J118" i="14"/>
  <c r="E14" i="15"/>
  <c r="J91" i="14"/>
  <c r="J83" i="14"/>
  <c r="J122" i="14"/>
  <c r="J114" i="14"/>
  <c r="J106" i="14"/>
  <c r="J92" i="14"/>
  <c r="J84" i="14"/>
  <c r="J123" i="14"/>
  <c r="J115" i="14"/>
  <c r="J107" i="14"/>
  <c r="J78" i="14"/>
  <c r="J90" i="14"/>
  <c r="J82" i="14"/>
  <c r="J121" i="14"/>
  <c r="J113" i="14"/>
  <c r="E13" i="15" s="1"/>
  <c r="J97" i="14"/>
  <c r="J89" i="14"/>
  <c r="J81" i="14"/>
  <c r="J120" i="14"/>
  <c r="J112" i="14"/>
  <c r="J96" i="14"/>
  <c r="J88" i="14"/>
  <c r="J80" i="14"/>
  <c r="J119" i="14"/>
  <c r="J50" i="5"/>
  <c r="L50" i="5" s="1"/>
  <c r="J46" i="5"/>
  <c r="L46" i="5" s="1"/>
  <c r="J48" i="5"/>
  <c r="L48" i="5" s="1"/>
  <c r="J41" i="5"/>
  <c r="I61" i="5"/>
  <c r="M5" i="15"/>
  <c r="I37" i="6"/>
  <c r="H62" i="6"/>
  <c r="I62" i="6" s="1"/>
  <c r="I36" i="6"/>
  <c r="I28" i="6"/>
  <c r="H61" i="6"/>
  <c r="I61" i="6" s="1"/>
  <c r="H53" i="6"/>
  <c r="I53" i="6" s="1"/>
  <c r="I43" i="6"/>
  <c r="I35" i="6"/>
  <c r="I27" i="6"/>
  <c r="H68" i="6"/>
  <c r="I68" i="6" s="1"/>
  <c r="H60" i="6"/>
  <c r="I60" i="6" s="1"/>
  <c r="H52" i="6"/>
  <c r="I52" i="6" s="1"/>
  <c r="I29" i="6"/>
  <c r="H54" i="6"/>
  <c r="I54" i="6" s="1"/>
  <c r="H49" i="6"/>
  <c r="I49" i="6" s="1"/>
  <c r="I42" i="6"/>
  <c r="I34" i="6"/>
  <c r="I26" i="6"/>
  <c r="H67" i="6"/>
  <c r="I67" i="6" s="1"/>
  <c r="H59" i="6"/>
  <c r="I59" i="6" s="1"/>
  <c r="H51" i="6"/>
  <c r="I51" i="6" s="1"/>
  <c r="I25" i="6"/>
  <c r="I41" i="6"/>
  <c r="I33" i="6"/>
  <c r="H66" i="6"/>
  <c r="I66" i="6" s="1"/>
  <c r="H58" i="6"/>
  <c r="I58" i="6" s="1"/>
  <c r="H50" i="6"/>
  <c r="I50" i="6" s="1"/>
  <c r="I40" i="6"/>
  <c r="I32" i="6"/>
  <c r="H65" i="6"/>
  <c r="I65" i="6" s="1"/>
  <c r="H57" i="6"/>
  <c r="I57" i="6" s="1"/>
  <c r="I39" i="6"/>
  <c r="I31" i="6"/>
  <c r="H64" i="6"/>
  <c r="I64" i="6" s="1"/>
  <c r="H56" i="6"/>
  <c r="I56" i="6" s="1"/>
  <c r="I38" i="6"/>
  <c r="I30" i="6"/>
  <c r="H63" i="6"/>
  <c r="I63" i="6" s="1"/>
  <c r="K57" i="5"/>
  <c r="K49" i="5"/>
  <c r="J49" i="5"/>
  <c r="L49" i="5" s="1"/>
  <c r="E22" i="15" l="1"/>
  <c r="E21" i="15"/>
  <c r="E6" i="15"/>
  <c r="E8" i="15"/>
  <c r="E5" i="15"/>
  <c r="E7" i="15"/>
  <c r="E15" i="15"/>
  <c r="E17" i="15"/>
  <c r="E16" i="15"/>
  <c r="E24" i="15"/>
  <c r="E23" i="15"/>
  <c r="E11" i="15"/>
  <c r="E19" i="15"/>
  <c r="E10" i="15"/>
  <c r="E9" i="15"/>
  <c r="E20" i="15"/>
  <c r="E18" i="15"/>
  <c r="J61" i="5"/>
  <c r="L41" i="5"/>
  <c r="B12" i="14" l="1"/>
  <c r="B22" i="4"/>
  <c r="B19" i="4"/>
  <c r="AF24" i="15"/>
  <c r="C9" i="8"/>
  <c r="AC24" i="15"/>
  <c r="AC23" i="15"/>
  <c r="AC22" i="15"/>
  <c r="AC21" i="15"/>
  <c r="AC20" i="15"/>
  <c r="AC19" i="15"/>
  <c r="AC18" i="15"/>
  <c r="AC17" i="15"/>
  <c r="AC16" i="15"/>
  <c r="AC15" i="15"/>
  <c r="AC14" i="15"/>
  <c r="AC13" i="15"/>
  <c r="AC12" i="15"/>
  <c r="AC11" i="15"/>
  <c r="AC10" i="15"/>
  <c r="AC9" i="15"/>
  <c r="AC8" i="15"/>
  <c r="AC7" i="15"/>
  <c r="AC6" i="15"/>
  <c r="AC5" i="15"/>
  <c r="R24" i="15"/>
  <c r="R23" i="15"/>
  <c r="R22" i="15"/>
  <c r="R21" i="15"/>
  <c r="R20" i="15"/>
  <c r="R19" i="15"/>
  <c r="R18" i="15"/>
  <c r="R17" i="15"/>
  <c r="R16" i="15"/>
  <c r="R15" i="15"/>
  <c r="R14" i="15"/>
  <c r="R13" i="15"/>
  <c r="R12" i="15"/>
  <c r="R11" i="15"/>
  <c r="R10" i="15"/>
  <c r="R9" i="15"/>
  <c r="R8" i="15"/>
  <c r="R7" i="15"/>
  <c r="R6" i="15"/>
  <c r="B11" i="9"/>
  <c r="J61" i="9"/>
  <c r="J62" i="9"/>
  <c r="J64" i="9"/>
  <c r="J65" i="9"/>
  <c r="J66" i="9"/>
  <c r="J67" i="9"/>
  <c r="J69" i="9"/>
  <c r="J70" i="9"/>
  <c r="J72" i="9"/>
  <c r="J73" i="9"/>
  <c r="J74" i="9"/>
  <c r="J75" i="9"/>
  <c r="J77" i="9"/>
  <c r="J78" i="9"/>
  <c r="J60" i="9"/>
  <c r="AC25" i="15" l="1"/>
  <c r="R25" i="15"/>
  <c r="J79" i="9"/>
  <c r="J71" i="9"/>
  <c r="J63" i="9"/>
  <c r="J76" i="9"/>
  <c r="J68" i="9"/>
  <c r="C24" i="6" l="1"/>
  <c r="D24" i="6"/>
  <c r="AF25" i="15"/>
  <c r="F24" i="6" l="1"/>
  <c r="I5" i="15" s="1"/>
  <c r="O24" i="6"/>
  <c r="J80" i="9"/>
  <c r="B18" i="4"/>
  <c r="B4" i="5" s="1"/>
  <c r="C20" i="4"/>
  <c r="C19" i="4"/>
  <c r="B20" i="4"/>
  <c r="B3" i="9" s="1"/>
  <c r="B4" i="6"/>
  <c r="J98" i="14" l="1"/>
  <c r="J125" i="14" l="1"/>
  <c r="E25" i="15"/>
  <c r="A105" i="14"/>
  <c r="K105" i="14" s="1"/>
  <c r="B11" i="13"/>
  <c r="A106" i="14" l="1"/>
  <c r="K106" i="14" s="1"/>
  <c r="B5" i="13"/>
  <c r="B6" i="13"/>
  <c r="B5" i="9"/>
  <c r="B6" i="9"/>
  <c r="B7" i="14"/>
  <c r="B6" i="14"/>
  <c r="C21" i="8"/>
  <c r="A78" i="14"/>
  <c r="K78" i="14" s="1"/>
  <c r="E31" i="15" s="1"/>
  <c r="C25" i="14"/>
  <c r="D25" i="14" s="1"/>
  <c r="E25" i="14" s="1"/>
  <c r="F25" i="14" s="1"/>
  <c r="G25" i="14" s="1"/>
  <c r="H25" i="14" s="1"/>
  <c r="I25" i="14" s="1"/>
  <c r="J25" i="14" s="1"/>
  <c r="K25" i="14" s="1"/>
  <c r="L25" i="14" s="1"/>
  <c r="M25" i="14" s="1"/>
  <c r="P25" i="14" s="1"/>
  <c r="Q25" i="14" s="1"/>
  <c r="R25" i="14" s="1"/>
  <c r="S25" i="14" s="1"/>
  <c r="T25" i="14" s="1"/>
  <c r="U25" i="14" s="1"/>
  <c r="V25" i="14" s="1"/>
  <c r="W25" i="14" s="1"/>
  <c r="X25" i="14" s="1"/>
  <c r="Y25" i="14" s="1"/>
  <c r="Z25" i="14" s="1"/>
  <c r="AA25" i="14" s="1"/>
  <c r="C31" i="14"/>
  <c r="D31" i="14" s="1"/>
  <c r="E31" i="14" s="1"/>
  <c r="F31" i="14" s="1"/>
  <c r="G31" i="14" s="1"/>
  <c r="H31" i="14" s="1"/>
  <c r="I31" i="14" s="1"/>
  <c r="J31" i="14" s="1"/>
  <c r="K31" i="14" s="1"/>
  <c r="L31" i="14" s="1"/>
  <c r="M31" i="14" s="1"/>
  <c r="P31" i="14" s="1"/>
  <c r="Q31" i="14" s="1"/>
  <c r="R31" i="14" s="1"/>
  <c r="S31" i="14" s="1"/>
  <c r="T31" i="14" s="1"/>
  <c r="U31" i="14" s="1"/>
  <c r="V31" i="14" s="1"/>
  <c r="W31" i="14" s="1"/>
  <c r="X31" i="14" s="1"/>
  <c r="Y31" i="14" s="1"/>
  <c r="Z31" i="14" s="1"/>
  <c r="AA31" i="14" s="1"/>
  <c r="B33" i="14"/>
  <c r="C33" i="14"/>
  <c r="D33" i="14"/>
  <c r="E33" i="14"/>
  <c r="F33" i="14"/>
  <c r="G33" i="14"/>
  <c r="H33" i="14"/>
  <c r="I33" i="14"/>
  <c r="J33" i="14"/>
  <c r="K33" i="14"/>
  <c r="L33" i="14"/>
  <c r="M33" i="14"/>
  <c r="P33" i="14"/>
  <c r="Q33" i="14"/>
  <c r="R33" i="14"/>
  <c r="S33" i="14"/>
  <c r="T33" i="14"/>
  <c r="U33" i="14"/>
  <c r="V33" i="14"/>
  <c r="W33" i="14"/>
  <c r="X33" i="14"/>
  <c r="Y33" i="14"/>
  <c r="Z33" i="14"/>
  <c r="AA33" i="14"/>
  <c r="B34" i="14"/>
  <c r="C34" i="14"/>
  <c r="D34" i="14"/>
  <c r="E34" i="14"/>
  <c r="F34" i="14"/>
  <c r="G34" i="14"/>
  <c r="H34" i="14"/>
  <c r="I34" i="14"/>
  <c r="J34" i="14"/>
  <c r="K34" i="14"/>
  <c r="L34" i="14"/>
  <c r="M34" i="14"/>
  <c r="P34" i="14"/>
  <c r="Q34" i="14"/>
  <c r="R34" i="14"/>
  <c r="S34" i="14"/>
  <c r="T34" i="14"/>
  <c r="U34" i="14"/>
  <c r="V34" i="14"/>
  <c r="W34" i="14"/>
  <c r="X34" i="14"/>
  <c r="Y34" i="14"/>
  <c r="Z34" i="14"/>
  <c r="AA34" i="14"/>
  <c r="B35" i="14"/>
  <c r="C35" i="14"/>
  <c r="D35" i="14"/>
  <c r="E35" i="14"/>
  <c r="F35" i="14"/>
  <c r="G35" i="14"/>
  <c r="H35" i="14"/>
  <c r="I35" i="14"/>
  <c r="J35" i="14"/>
  <c r="K35" i="14"/>
  <c r="L35" i="14"/>
  <c r="M35" i="14"/>
  <c r="P35" i="14"/>
  <c r="Q35" i="14"/>
  <c r="R35" i="14"/>
  <c r="S35" i="14"/>
  <c r="T35" i="14"/>
  <c r="U35" i="14"/>
  <c r="V35" i="14"/>
  <c r="W35" i="14"/>
  <c r="X35" i="14"/>
  <c r="Y35" i="14"/>
  <c r="Z35" i="14"/>
  <c r="AA35" i="14"/>
  <c r="B36" i="14"/>
  <c r="C36" i="14"/>
  <c r="D36" i="14"/>
  <c r="E36" i="14"/>
  <c r="F36" i="14"/>
  <c r="G36" i="14"/>
  <c r="H36" i="14"/>
  <c r="I36" i="14"/>
  <c r="J36" i="14"/>
  <c r="K36" i="14"/>
  <c r="L36" i="14"/>
  <c r="M36" i="14"/>
  <c r="P36" i="14"/>
  <c r="Q36" i="14"/>
  <c r="R36" i="14"/>
  <c r="S36" i="14"/>
  <c r="T36" i="14"/>
  <c r="U36" i="14"/>
  <c r="V36" i="14"/>
  <c r="W36" i="14"/>
  <c r="X36" i="14"/>
  <c r="Y36" i="14"/>
  <c r="Z36" i="14"/>
  <c r="AA36" i="14"/>
  <c r="C37" i="14"/>
  <c r="D37" i="14" s="1"/>
  <c r="E37" i="14" s="1"/>
  <c r="F37" i="14" s="1"/>
  <c r="G37" i="14" s="1"/>
  <c r="H37" i="14" s="1"/>
  <c r="I37" i="14" s="1"/>
  <c r="J37" i="14" s="1"/>
  <c r="K37" i="14" s="1"/>
  <c r="L37" i="14" s="1"/>
  <c r="M37" i="14" s="1"/>
  <c r="P37" i="14" s="1"/>
  <c r="Q37" i="14" s="1"/>
  <c r="R37" i="14" s="1"/>
  <c r="S37" i="14" s="1"/>
  <c r="T37" i="14" s="1"/>
  <c r="U37" i="14" s="1"/>
  <c r="V37" i="14" s="1"/>
  <c r="W37" i="14" s="1"/>
  <c r="X37" i="14" s="1"/>
  <c r="Y37" i="14" s="1"/>
  <c r="Z37" i="14" s="1"/>
  <c r="AA37" i="14" s="1"/>
  <c r="B21" i="14"/>
  <c r="B22" i="14" s="1"/>
  <c r="B23" i="14" s="1"/>
  <c r="B26" i="14" s="1"/>
  <c r="E55" i="14"/>
  <c r="F55" i="14"/>
  <c r="C40" i="13"/>
  <c r="D40" i="13" s="1"/>
  <c r="E40" i="13" s="1"/>
  <c r="F40" i="13" s="1"/>
  <c r="G40" i="13" s="1"/>
  <c r="H40" i="13" s="1"/>
  <c r="I40" i="13" s="1"/>
  <c r="J40" i="13" s="1"/>
  <c r="K40" i="13" s="1"/>
  <c r="L40" i="13" s="1"/>
  <c r="M40" i="13" s="1"/>
  <c r="N40" i="13" s="1"/>
  <c r="O40" i="13" s="1"/>
  <c r="P40" i="13" s="1"/>
  <c r="Q40" i="13" s="1"/>
  <c r="R40" i="13" s="1"/>
  <c r="S40" i="13" s="1"/>
  <c r="T40" i="13" s="1"/>
  <c r="U40" i="13" s="1"/>
  <c r="V40" i="13" s="1"/>
  <c r="W40" i="13" s="1"/>
  <c r="X40" i="13" s="1"/>
  <c r="Y40" i="13" s="1"/>
  <c r="C46" i="13"/>
  <c r="D46" i="13" s="1"/>
  <c r="E46" i="13" s="1"/>
  <c r="F46" i="13" s="1"/>
  <c r="G46" i="13" s="1"/>
  <c r="H46" i="13" s="1"/>
  <c r="I46" i="13" s="1"/>
  <c r="J46" i="13" s="1"/>
  <c r="K46" i="13" s="1"/>
  <c r="L46" i="13" s="1"/>
  <c r="M46" i="13" s="1"/>
  <c r="N46" i="13" s="1"/>
  <c r="O46" i="13" s="1"/>
  <c r="P46" i="13" s="1"/>
  <c r="Q46" i="13" s="1"/>
  <c r="R46" i="13" s="1"/>
  <c r="S46" i="13" s="1"/>
  <c r="T46" i="13" s="1"/>
  <c r="U46" i="13" s="1"/>
  <c r="V46" i="13" s="1"/>
  <c r="W46" i="13" s="1"/>
  <c r="X46" i="13" s="1"/>
  <c r="Y46" i="13" s="1"/>
  <c r="B48" i="13"/>
  <c r="C48" i="13"/>
  <c r="D48" i="13"/>
  <c r="E48" i="13"/>
  <c r="F48" i="13"/>
  <c r="G48" i="13"/>
  <c r="H48" i="13"/>
  <c r="I48" i="13"/>
  <c r="J48" i="13"/>
  <c r="K48" i="13"/>
  <c r="L48" i="13"/>
  <c r="M48" i="13"/>
  <c r="N48" i="13"/>
  <c r="O48" i="13"/>
  <c r="P48" i="13"/>
  <c r="Q48" i="13"/>
  <c r="R48" i="13"/>
  <c r="S48" i="13"/>
  <c r="T48" i="13"/>
  <c r="U48" i="13"/>
  <c r="V48" i="13"/>
  <c r="W48" i="13"/>
  <c r="X48" i="13"/>
  <c r="Y48" i="13"/>
  <c r="B49" i="13"/>
  <c r="C49" i="13"/>
  <c r="D49" i="13"/>
  <c r="E49" i="13"/>
  <c r="F49" i="13"/>
  <c r="G49" i="13"/>
  <c r="H49" i="13"/>
  <c r="I49" i="13"/>
  <c r="J49" i="13"/>
  <c r="K49" i="13"/>
  <c r="L49" i="13"/>
  <c r="M49" i="13"/>
  <c r="N49" i="13"/>
  <c r="O49" i="13"/>
  <c r="P49" i="13"/>
  <c r="Q49" i="13"/>
  <c r="R49" i="13"/>
  <c r="S49" i="13"/>
  <c r="T49" i="13"/>
  <c r="U49" i="13"/>
  <c r="V49" i="13"/>
  <c r="W49" i="13"/>
  <c r="X49" i="13"/>
  <c r="Y49" i="13"/>
  <c r="B50" i="13"/>
  <c r="C50" i="13"/>
  <c r="D50" i="13"/>
  <c r="E50" i="13"/>
  <c r="F50" i="13"/>
  <c r="G50" i="13"/>
  <c r="H50" i="13"/>
  <c r="I50" i="13"/>
  <c r="J50" i="13"/>
  <c r="K50" i="13"/>
  <c r="L50" i="13"/>
  <c r="M50" i="13"/>
  <c r="N50" i="13"/>
  <c r="O50" i="13"/>
  <c r="P50" i="13"/>
  <c r="Q50" i="13"/>
  <c r="R50" i="13"/>
  <c r="S50" i="13"/>
  <c r="T50" i="13"/>
  <c r="U50" i="13"/>
  <c r="V50" i="13"/>
  <c r="W50" i="13"/>
  <c r="X50" i="13"/>
  <c r="Y50" i="13"/>
  <c r="B51" i="13"/>
  <c r="C51" i="13"/>
  <c r="D51" i="13"/>
  <c r="E51" i="13"/>
  <c r="F51" i="13"/>
  <c r="G51" i="13"/>
  <c r="H51" i="13"/>
  <c r="I51" i="13"/>
  <c r="J51" i="13"/>
  <c r="K51" i="13"/>
  <c r="L51" i="13"/>
  <c r="M51" i="13"/>
  <c r="N51" i="13"/>
  <c r="O51" i="13"/>
  <c r="P51" i="13"/>
  <c r="Q51" i="13"/>
  <c r="R51" i="13"/>
  <c r="S51" i="13"/>
  <c r="T51" i="13"/>
  <c r="U51" i="13"/>
  <c r="V51" i="13"/>
  <c r="W51" i="13"/>
  <c r="X51" i="13"/>
  <c r="Y51" i="13"/>
  <c r="C52" i="13"/>
  <c r="D52" i="13" s="1"/>
  <c r="E52" i="13" s="1"/>
  <c r="F52" i="13" s="1"/>
  <c r="G52" i="13" s="1"/>
  <c r="H52" i="13" s="1"/>
  <c r="I52" i="13" s="1"/>
  <c r="J52" i="13" s="1"/>
  <c r="K52" i="13" s="1"/>
  <c r="L52" i="13" s="1"/>
  <c r="M52" i="13" s="1"/>
  <c r="N52" i="13" s="1"/>
  <c r="O52" i="13" s="1"/>
  <c r="P52" i="13" s="1"/>
  <c r="Q52" i="13" s="1"/>
  <c r="R52" i="13" s="1"/>
  <c r="S52" i="13" s="1"/>
  <c r="T52" i="13" s="1"/>
  <c r="U52" i="13" s="1"/>
  <c r="V52" i="13" s="1"/>
  <c r="W52" i="13" s="1"/>
  <c r="X52" i="13" s="1"/>
  <c r="Y52" i="13" s="1"/>
  <c r="B36" i="13"/>
  <c r="B37" i="13" s="1"/>
  <c r="B38" i="13" s="1"/>
  <c r="B41" i="13" s="1"/>
  <c r="E26" i="13"/>
  <c r="F26" i="13"/>
  <c r="L30" i="7"/>
  <c r="L29" i="7"/>
  <c r="L28" i="7"/>
  <c r="L27" i="7"/>
  <c r="L26" i="7"/>
  <c r="L25" i="7"/>
  <c r="L24" i="7"/>
  <c r="L23" i="7"/>
  <c r="L22" i="7"/>
  <c r="L21" i="7"/>
  <c r="L20" i="7"/>
  <c r="L19" i="7"/>
  <c r="L18" i="7"/>
  <c r="L17" i="7"/>
  <c r="L16" i="7"/>
  <c r="L15" i="7"/>
  <c r="L14" i="7"/>
  <c r="L13" i="7"/>
  <c r="L12" i="7"/>
  <c r="L11" i="7"/>
  <c r="L10" i="7"/>
  <c r="L9" i="7"/>
  <c r="A107" i="14" l="1"/>
  <c r="K107" i="14" s="1"/>
  <c r="A79" i="14"/>
  <c r="K79" i="14" s="1"/>
  <c r="E32" i="15" s="1"/>
  <c r="C26" i="14"/>
  <c r="B32" i="14"/>
  <c r="B47" i="13"/>
  <c r="C41" i="13"/>
  <c r="L31" i="7"/>
  <c r="L33" i="7" s="1"/>
  <c r="A108" i="14" l="1"/>
  <c r="K108" i="14" s="1"/>
  <c r="A80" i="14"/>
  <c r="K80" i="14" s="1"/>
  <c r="E33" i="15" s="1"/>
  <c r="D26" i="14"/>
  <c r="C32" i="14"/>
  <c r="C47" i="13"/>
  <c r="D41" i="13"/>
  <c r="L35" i="7"/>
  <c r="L37" i="7" s="1"/>
  <c r="L36" i="7"/>
  <c r="A109" i="14" l="1"/>
  <c r="K109" i="14" s="1"/>
  <c r="A81" i="14"/>
  <c r="K81" i="14" s="1"/>
  <c r="E34" i="15" s="1"/>
  <c r="D32" i="14"/>
  <c r="E26" i="14"/>
  <c r="D47" i="13"/>
  <c r="E41" i="13"/>
  <c r="K37" i="7"/>
  <c r="B3" i="7"/>
  <c r="A110" i="14" l="1"/>
  <c r="K110" i="14" s="1"/>
  <c r="A111" i="14"/>
  <c r="K111" i="14" s="1"/>
  <c r="A82" i="14"/>
  <c r="K82" i="14" s="1"/>
  <c r="E35" i="15" s="1"/>
  <c r="E32" i="14"/>
  <c r="F26" i="14"/>
  <c r="F41" i="13"/>
  <c r="E47" i="13"/>
  <c r="B23" i="4"/>
  <c r="B9" i="14" s="1"/>
  <c r="B8" i="9"/>
  <c r="B3" i="6"/>
  <c r="A5" i="15" s="1"/>
  <c r="O79" i="14" l="1"/>
  <c r="F32" i="15" s="1"/>
  <c r="O82" i="14"/>
  <c r="F35" i="15" s="1"/>
  <c r="O80" i="14"/>
  <c r="F33" i="15" s="1"/>
  <c r="O81" i="14"/>
  <c r="F34" i="15" s="1"/>
  <c r="A31" i="15"/>
  <c r="AC31" i="15" s="1"/>
  <c r="A6" i="15"/>
  <c r="A7" i="15" s="1"/>
  <c r="A8" i="15" s="1"/>
  <c r="A9" i="15" s="1"/>
  <c r="A10" i="15" s="1"/>
  <c r="A11" i="15" s="1"/>
  <c r="A12" i="15" s="1"/>
  <c r="A13" i="15" s="1"/>
  <c r="A14" i="15" s="1"/>
  <c r="A15" i="15" s="1"/>
  <c r="A16" i="15" s="1"/>
  <c r="A17" i="15" s="1"/>
  <c r="A18" i="15" s="1"/>
  <c r="A19" i="15" s="1"/>
  <c r="A20" i="15" s="1"/>
  <c r="A21" i="15" s="1"/>
  <c r="A22" i="15" s="1"/>
  <c r="A23" i="15" s="1"/>
  <c r="A24" i="15" s="1"/>
  <c r="A83" i="14"/>
  <c r="K83" i="14" s="1"/>
  <c r="E36" i="15" s="1"/>
  <c r="A112" i="14"/>
  <c r="K112" i="14" s="1"/>
  <c r="B24" i="4"/>
  <c r="B9" i="9"/>
  <c r="B8" i="13"/>
  <c r="G26" i="14"/>
  <c r="F32" i="14"/>
  <c r="G41" i="13"/>
  <c r="F47" i="13"/>
  <c r="A24" i="6"/>
  <c r="O83" i="14" l="1"/>
  <c r="F36" i="15" s="1"/>
  <c r="N98" i="14"/>
  <c r="O78" i="14"/>
  <c r="F31" i="15" s="1"/>
  <c r="F65" i="9"/>
  <c r="K10" i="15" s="1"/>
  <c r="F66" i="9"/>
  <c r="K11" i="15" s="1"/>
  <c r="F74" i="9"/>
  <c r="K19" i="15" s="1"/>
  <c r="F61" i="9"/>
  <c r="K6" i="15" s="1"/>
  <c r="F77" i="9"/>
  <c r="K22" i="15" s="1"/>
  <c r="F72" i="9"/>
  <c r="K17" i="15" s="1"/>
  <c r="F68" i="9"/>
  <c r="K13" i="15" s="1"/>
  <c r="F76" i="9"/>
  <c r="K21" i="15" s="1"/>
  <c r="F62" i="9"/>
  <c r="K7" i="15" s="1"/>
  <c r="F70" i="9"/>
  <c r="K15" i="15" s="1"/>
  <c r="F78" i="9"/>
  <c r="K23" i="15" s="1"/>
  <c r="F79" i="9"/>
  <c r="K24" i="15" s="1"/>
  <c r="F60" i="9"/>
  <c r="K5" i="15" s="1"/>
  <c r="F73" i="9"/>
  <c r="K18" i="15" s="1"/>
  <c r="R31" i="15"/>
  <c r="A32" i="15"/>
  <c r="A113" i="14"/>
  <c r="K113" i="14" s="1"/>
  <c r="A84" i="14"/>
  <c r="K84" i="14" s="1"/>
  <c r="E37" i="15" s="1"/>
  <c r="B113" i="14"/>
  <c r="B121" i="14"/>
  <c r="B106" i="14"/>
  <c r="B114" i="14"/>
  <c r="B122" i="14"/>
  <c r="B107" i="14"/>
  <c r="B115" i="14"/>
  <c r="B123" i="14"/>
  <c r="B108" i="14"/>
  <c r="B116" i="14"/>
  <c r="B124" i="14"/>
  <c r="B118" i="14"/>
  <c r="B109" i="14"/>
  <c r="B117" i="14"/>
  <c r="B105" i="14"/>
  <c r="B110" i="14"/>
  <c r="B111" i="14"/>
  <c r="B119" i="14"/>
  <c r="B112" i="14"/>
  <c r="B120" i="14"/>
  <c r="B10" i="13"/>
  <c r="B60" i="9"/>
  <c r="B85" i="14"/>
  <c r="B11" i="14"/>
  <c r="B10" i="14"/>
  <c r="B82" i="14"/>
  <c r="B83" i="14"/>
  <c r="B86" i="14"/>
  <c r="B96" i="14"/>
  <c r="B78" i="14"/>
  <c r="B88" i="14"/>
  <c r="B93" i="14"/>
  <c r="B97" i="14"/>
  <c r="B80" i="14"/>
  <c r="B90" i="14"/>
  <c r="B95" i="14"/>
  <c r="B92" i="14"/>
  <c r="B87" i="14"/>
  <c r="B81" i="14"/>
  <c r="B84" i="14"/>
  <c r="B79" i="14"/>
  <c r="B89" i="14"/>
  <c r="B91" i="14"/>
  <c r="B94" i="14"/>
  <c r="H26" i="14"/>
  <c r="G32" i="14"/>
  <c r="H41" i="13"/>
  <c r="G47" i="13"/>
  <c r="B33" i="9"/>
  <c r="B34" i="9" s="1"/>
  <c r="B10" i="9"/>
  <c r="O84" i="14" l="1"/>
  <c r="F37" i="15" s="1"/>
  <c r="F69" i="9"/>
  <c r="K14" i="15" s="1"/>
  <c r="F71" i="9"/>
  <c r="K16" i="15" s="1"/>
  <c r="F75" i="9"/>
  <c r="K20" i="15" s="1"/>
  <c r="F64" i="9"/>
  <c r="K9" i="15" s="1"/>
  <c r="F63" i="9"/>
  <c r="K8" i="15" s="1"/>
  <c r="F67" i="9"/>
  <c r="K12" i="15" s="1"/>
  <c r="R32" i="15"/>
  <c r="AC32" i="15"/>
  <c r="A33" i="15"/>
  <c r="L117" i="14"/>
  <c r="L122" i="14"/>
  <c r="L118" i="14"/>
  <c r="L124" i="14"/>
  <c r="L119" i="14"/>
  <c r="L116" i="14"/>
  <c r="L121" i="14"/>
  <c r="L111" i="14"/>
  <c r="M111" i="14"/>
  <c r="L108" i="14"/>
  <c r="M108" i="14"/>
  <c r="L113" i="14"/>
  <c r="M113" i="14"/>
  <c r="M107" i="14"/>
  <c r="L107" i="14"/>
  <c r="M109" i="14"/>
  <c r="L109" i="14"/>
  <c r="L120" i="14"/>
  <c r="L114" i="14"/>
  <c r="M112" i="14"/>
  <c r="L112" i="14"/>
  <c r="L106" i="14"/>
  <c r="M106" i="14"/>
  <c r="AF108" i="14"/>
  <c r="AF111" i="14"/>
  <c r="AD120" i="14"/>
  <c r="AD123" i="14"/>
  <c r="AF124" i="14"/>
  <c r="AE105" i="14"/>
  <c r="AF81" i="14"/>
  <c r="AD83" i="14"/>
  <c r="AF84" i="14"/>
  <c r="AD86" i="14"/>
  <c r="AF89" i="14"/>
  <c r="AD91" i="14"/>
  <c r="AF92" i="14"/>
  <c r="AD94" i="14"/>
  <c r="AF97" i="14"/>
  <c r="AE78" i="14"/>
  <c r="AF107" i="14"/>
  <c r="AD109" i="14"/>
  <c r="AF110" i="14"/>
  <c r="AD122" i="14"/>
  <c r="AD107" i="14"/>
  <c r="AG108" i="14"/>
  <c r="AD110" i="14"/>
  <c r="AG111" i="14"/>
  <c r="AD113" i="14"/>
  <c r="AF114" i="14"/>
  <c r="AF117" i="14"/>
  <c r="AG81" i="14"/>
  <c r="AE83" i="14"/>
  <c r="AG84" i="14"/>
  <c r="AE107" i="14"/>
  <c r="AE110" i="14"/>
  <c r="AE113" i="14"/>
  <c r="AD116" i="14"/>
  <c r="AD119" i="14"/>
  <c r="AF120" i="14"/>
  <c r="AF123" i="14"/>
  <c r="AD80" i="14"/>
  <c r="AF83" i="14"/>
  <c r="AD85" i="14"/>
  <c r="AF86" i="14"/>
  <c r="AD88" i="14"/>
  <c r="AF91" i="14"/>
  <c r="AD93" i="14"/>
  <c r="AF94" i="14"/>
  <c r="AD96" i="14"/>
  <c r="AF113" i="14"/>
  <c r="AG107" i="14"/>
  <c r="AG110" i="14"/>
  <c r="AG113" i="14"/>
  <c r="AF116" i="14"/>
  <c r="AF119" i="14"/>
  <c r="AE79" i="14"/>
  <c r="AD84" i="14"/>
  <c r="AD87" i="14"/>
  <c r="AD97" i="14"/>
  <c r="AF82" i="14"/>
  <c r="AF85" i="14"/>
  <c r="AE109" i="14"/>
  <c r="AG82" i="14"/>
  <c r="AF93" i="14"/>
  <c r="AF78" i="14"/>
  <c r="AF109" i="14"/>
  <c r="AD121" i="14"/>
  <c r="AF88" i="14"/>
  <c r="AF106" i="14"/>
  <c r="AF115" i="14"/>
  <c r="AD124" i="14"/>
  <c r="AF122" i="14"/>
  <c r="AF105" i="14"/>
  <c r="AF79" i="14"/>
  <c r="AD82" i="14"/>
  <c r="AE84" i="14"/>
  <c r="AD92" i="14"/>
  <c r="AD95" i="14"/>
  <c r="AE82" i="14"/>
  <c r="AD90" i="14"/>
  <c r="AE108" i="14"/>
  <c r="AD114" i="14"/>
  <c r="AH114" i="14" s="1"/>
  <c r="AD117" i="14"/>
  <c r="AH117" i="14" s="1"/>
  <c r="AE80" i="14"/>
  <c r="AF95" i="14"/>
  <c r="AD106" i="14"/>
  <c r="AD115" i="14"/>
  <c r="AF90" i="14"/>
  <c r="AE106" i="14"/>
  <c r="AD118" i="14"/>
  <c r="AG80" i="14"/>
  <c r="AG78" i="14"/>
  <c r="AF112" i="14"/>
  <c r="AD108" i="14"/>
  <c r="AD111" i="14"/>
  <c r="AH111" i="14" s="1"/>
  <c r="AG105" i="14"/>
  <c r="AG79" i="14"/>
  <c r="AF87" i="14"/>
  <c r="AE111" i="14"/>
  <c r="AI111" i="14" s="1"/>
  <c r="AD105" i="14"/>
  <c r="AD112" i="14"/>
  <c r="AF80" i="14"/>
  <c r="AE112" i="14"/>
  <c r="AG83" i="14"/>
  <c r="AG109" i="14"/>
  <c r="AG106" i="14"/>
  <c r="AF118" i="14"/>
  <c r="AD79" i="14"/>
  <c r="AF121" i="14"/>
  <c r="AE81" i="14"/>
  <c r="AF96" i="14"/>
  <c r="AG112" i="14"/>
  <c r="AD89" i="14"/>
  <c r="AD81" i="14"/>
  <c r="AD78" i="14"/>
  <c r="L110" i="14"/>
  <c r="M110" i="14"/>
  <c r="L123" i="14"/>
  <c r="L105" i="14"/>
  <c r="M105" i="14"/>
  <c r="L115" i="14"/>
  <c r="L78" i="14"/>
  <c r="M78" i="14"/>
  <c r="L86" i="14"/>
  <c r="L97" i="14"/>
  <c r="L94" i="14"/>
  <c r="L91" i="14"/>
  <c r="C18" i="15" s="1"/>
  <c r="L89" i="14"/>
  <c r="L79" i="14"/>
  <c r="M79" i="14"/>
  <c r="L84" i="14"/>
  <c r="M84" i="14"/>
  <c r="L83" i="14"/>
  <c r="M83" i="14"/>
  <c r="L88" i="14"/>
  <c r="M82" i="14"/>
  <c r="L82" i="14"/>
  <c r="L92" i="14"/>
  <c r="L95" i="14"/>
  <c r="C22" i="15" s="1"/>
  <c r="L85" i="14"/>
  <c r="L93" i="14"/>
  <c r="C20" i="15" s="1"/>
  <c r="L96" i="14"/>
  <c r="L81" i="14"/>
  <c r="M81" i="14"/>
  <c r="L87" i="14"/>
  <c r="L90" i="14"/>
  <c r="L80" i="14"/>
  <c r="M80" i="14"/>
  <c r="A85" i="14"/>
  <c r="O85" i="14" s="1"/>
  <c r="F38" i="15" s="1"/>
  <c r="A114" i="14"/>
  <c r="K114" i="14" s="1"/>
  <c r="C123" i="14"/>
  <c r="D123" i="14"/>
  <c r="C121" i="14"/>
  <c r="D121" i="14"/>
  <c r="C111" i="14"/>
  <c r="D111" i="14"/>
  <c r="C117" i="14"/>
  <c r="D117" i="14"/>
  <c r="C108" i="14"/>
  <c r="D108" i="14"/>
  <c r="C115" i="14"/>
  <c r="D115" i="14"/>
  <c r="D122" i="14"/>
  <c r="C122" i="14"/>
  <c r="C124" i="14"/>
  <c r="D124" i="14"/>
  <c r="C120" i="14"/>
  <c r="D120" i="14"/>
  <c r="D114" i="14"/>
  <c r="C114" i="14"/>
  <c r="B125" i="14"/>
  <c r="C105" i="14"/>
  <c r="D105" i="14"/>
  <c r="C113" i="14"/>
  <c r="D113" i="14"/>
  <c r="C118" i="14"/>
  <c r="D118" i="14"/>
  <c r="C109" i="14"/>
  <c r="D109" i="14"/>
  <c r="C116" i="14"/>
  <c r="D116" i="14"/>
  <c r="D110" i="14"/>
  <c r="C110" i="14"/>
  <c r="D119" i="14"/>
  <c r="C119" i="14"/>
  <c r="C112" i="14"/>
  <c r="D112" i="14"/>
  <c r="D106" i="14"/>
  <c r="C106" i="14"/>
  <c r="C107" i="14"/>
  <c r="D107" i="14"/>
  <c r="D91" i="14"/>
  <c r="D96" i="14"/>
  <c r="D94" i="14"/>
  <c r="D95" i="14"/>
  <c r="D86" i="14"/>
  <c r="D90" i="14"/>
  <c r="D83" i="14"/>
  <c r="D79" i="14"/>
  <c r="D97" i="14"/>
  <c r="D93" i="14"/>
  <c r="D81" i="14"/>
  <c r="D88" i="14"/>
  <c r="D85" i="14"/>
  <c r="D92" i="14"/>
  <c r="D89" i="14"/>
  <c r="D80" i="14"/>
  <c r="D82" i="14"/>
  <c r="D84" i="14"/>
  <c r="D87" i="14"/>
  <c r="D78" i="14"/>
  <c r="B98" i="14"/>
  <c r="H32" i="14"/>
  <c r="I26" i="14"/>
  <c r="H47" i="13"/>
  <c r="I41" i="13"/>
  <c r="A49" i="6"/>
  <c r="A50" i="6" s="1"/>
  <c r="A51" i="6" s="1"/>
  <c r="A52" i="6" s="1"/>
  <c r="A53" i="6" s="1"/>
  <c r="A54" i="6" s="1"/>
  <c r="A55" i="6" s="1"/>
  <c r="A56" i="6" s="1"/>
  <c r="A57" i="6" s="1"/>
  <c r="A58" i="6" s="1"/>
  <c r="A59" i="6" s="1"/>
  <c r="A60" i="6" s="1"/>
  <c r="A61" i="6" s="1"/>
  <c r="A62" i="6" s="1"/>
  <c r="A63" i="6" s="1"/>
  <c r="A64" i="6" s="1"/>
  <c r="A65" i="6" s="1"/>
  <c r="A66" i="6" s="1"/>
  <c r="A67" i="6" s="1"/>
  <c r="A68" i="6" s="1"/>
  <c r="E15" i="4"/>
  <c r="B7" i="6" s="1"/>
  <c r="A41" i="5"/>
  <c r="B41" i="5" s="1"/>
  <c r="AH106" i="14" l="1"/>
  <c r="K85" i="14"/>
  <c r="E38" i="15" s="1"/>
  <c r="AH88" i="14"/>
  <c r="C34" i="15"/>
  <c r="AH115" i="14"/>
  <c r="C19" i="15"/>
  <c r="C13" i="15"/>
  <c r="AI105" i="14"/>
  <c r="AI80" i="14"/>
  <c r="R33" i="15"/>
  <c r="AC33" i="15"/>
  <c r="A34" i="15"/>
  <c r="C17" i="15"/>
  <c r="AH94" i="14"/>
  <c r="C9" i="15"/>
  <c r="C21" i="15"/>
  <c r="C33" i="15"/>
  <c r="M114" i="14"/>
  <c r="AG114" i="14"/>
  <c r="AE114" i="14"/>
  <c r="AI106" i="14"/>
  <c r="C16" i="15"/>
  <c r="AH81" i="14"/>
  <c r="AH79" i="14"/>
  <c r="AH97" i="14"/>
  <c r="AG85" i="14"/>
  <c r="AE85" i="14"/>
  <c r="C23" i="15"/>
  <c r="C36" i="15"/>
  <c r="AH124" i="14"/>
  <c r="C35" i="15"/>
  <c r="C10" i="15"/>
  <c r="AI113" i="14"/>
  <c r="AF98" i="14"/>
  <c r="AH109" i="14"/>
  <c r="AH120" i="14"/>
  <c r="AI83" i="14"/>
  <c r="AH84" i="14"/>
  <c r="C37" i="15"/>
  <c r="C32" i="15"/>
  <c r="AH122" i="14"/>
  <c r="AH92" i="14"/>
  <c r="AI84" i="14"/>
  <c r="W109" i="14"/>
  <c r="X109" i="14"/>
  <c r="Z109" i="14"/>
  <c r="Y109" i="14"/>
  <c r="U109" i="14"/>
  <c r="V109" i="14"/>
  <c r="I111" i="14"/>
  <c r="H111" i="14"/>
  <c r="AI78" i="14"/>
  <c r="I107" i="14"/>
  <c r="H107" i="14"/>
  <c r="H113" i="14"/>
  <c r="I113" i="14"/>
  <c r="AH105" i="14"/>
  <c r="AD125" i="14"/>
  <c r="H116" i="14"/>
  <c r="C12" i="15"/>
  <c r="L125" i="14"/>
  <c r="C7" i="15"/>
  <c r="AH93" i="14"/>
  <c r="AH110" i="14"/>
  <c r="AH83" i="14"/>
  <c r="H112" i="14"/>
  <c r="I112" i="14"/>
  <c r="H109" i="14"/>
  <c r="I109" i="14"/>
  <c r="H114" i="14"/>
  <c r="I114" i="14"/>
  <c r="AI112" i="14"/>
  <c r="AI82" i="14"/>
  <c r="Z105" i="14"/>
  <c r="X105" i="14"/>
  <c r="T105" i="14"/>
  <c r="W105" i="14"/>
  <c r="U105" i="14"/>
  <c r="Y105" i="14"/>
  <c r="V105" i="14"/>
  <c r="S105" i="14"/>
  <c r="H117" i="14"/>
  <c r="C15" i="15"/>
  <c r="AH113" i="14"/>
  <c r="H105" i="14"/>
  <c r="I105" i="14"/>
  <c r="H122" i="14"/>
  <c r="V111" i="14"/>
  <c r="W111" i="14"/>
  <c r="Y111" i="14"/>
  <c r="X111" i="14"/>
  <c r="Z111" i="14"/>
  <c r="U111" i="14"/>
  <c r="AI109" i="14"/>
  <c r="AI110" i="14"/>
  <c r="AH118" i="14"/>
  <c r="AF125" i="14"/>
  <c r="AH87" i="14"/>
  <c r="AI107" i="14"/>
  <c r="AH119" i="14"/>
  <c r="AI108" i="14"/>
  <c r="H119" i="14"/>
  <c r="U114" i="14"/>
  <c r="V114" i="14"/>
  <c r="X114" i="14"/>
  <c r="W114" i="14"/>
  <c r="Y114" i="14"/>
  <c r="Z114" i="14"/>
  <c r="H115" i="14"/>
  <c r="H121" i="14"/>
  <c r="C14" i="15"/>
  <c r="C11" i="15"/>
  <c r="C31" i="15"/>
  <c r="AH96" i="14"/>
  <c r="AH121" i="14"/>
  <c r="AH107" i="14"/>
  <c r="I106" i="14"/>
  <c r="H106" i="14"/>
  <c r="H124" i="14"/>
  <c r="Y106" i="14"/>
  <c r="Z106" i="14"/>
  <c r="S106" i="14"/>
  <c r="T106" i="14"/>
  <c r="U106" i="14"/>
  <c r="X106" i="14"/>
  <c r="V106" i="14"/>
  <c r="W106" i="14"/>
  <c r="AH89" i="14"/>
  <c r="V112" i="14"/>
  <c r="W112" i="14"/>
  <c r="X112" i="14"/>
  <c r="Y112" i="14"/>
  <c r="U112" i="14"/>
  <c r="Z112" i="14"/>
  <c r="C24" i="15"/>
  <c r="H118" i="14"/>
  <c r="Y108" i="14"/>
  <c r="Z108" i="14"/>
  <c r="U108" i="14"/>
  <c r="V108" i="14"/>
  <c r="X108" i="14"/>
  <c r="W108" i="14"/>
  <c r="C5" i="15"/>
  <c r="AI81" i="14"/>
  <c r="AH80" i="14"/>
  <c r="AH95" i="14"/>
  <c r="AH82" i="14"/>
  <c r="AH86" i="14"/>
  <c r="V110" i="14"/>
  <c r="W110" i="14"/>
  <c r="X110" i="14"/>
  <c r="Y110" i="14"/>
  <c r="Z110" i="14"/>
  <c r="U110" i="14"/>
  <c r="AI79" i="14"/>
  <c r="AH116" i="14"/>
  <c r="Y107" i="14"/>
  <c r="Z107" i="14"/>
  <c r="T107" i="14"/>
  <c r="S107" i="14"/>
  <c r="W107" i="14"/>
  <c r="U107" i="14"/>
  <c r="V107" i="14"/>
  <c r="X107" i="14"/>
  <c r="H110" i="14"/>
  <c r="I110" i="14"/>
  <c r="V113" i="14"/>
  <c r="Y113" i="14"/>
  <c r="W113" i="14"/>
  <c r="X113" i="14"/>
  <c r="Z113" i="14"/>
  <c r="U113" i="14"/>
  <c r="H120" i="14"/>
  <c r="H108" i="14"/>
  <c r="I108" i="14"/>
  <c r="H123" i="14"/>
  <c r="C8" i="15"/>
  <c r="C6" i="15"/>
  <c r="AH78" i="14"/>
  <c r="AD98" i="14"/>
  <c r="AH112" i="14"/>
  <c r="AH108" i="14"/>
  <c r="AH90" i="14"/>
  <c r="AH85" i="14"/>
  <c r="AH91" i="14"/>
  <c r="AH123" i="14"/>
  <c r="Z78" i="14"/>
  <c r="Y78" i="14"/>
  <c r="U78" i="14"/>
  <c r="V78" i="14"/>
  <c r="S78" i="14"/>
  <c r="T78" i="14"/>
  <c r="W78" i="14"/>
  <c r="X78" i="14"/>
  <c r="X79" i="14"/>
  <c r="Y79" i="14"/>
  <c r="Z79" i="14"/>
  <c r="S79" i="14"/>
  <c r="T79" i="14"/>
  <c r="U79" i="14"/>
  <c r="V79" i="14"/>
  <c r="W79" i="14"/>
  <c r="V84" i="14"/>
  <c r="W84" i="14"/>
  <c r="X84" i="14"/>
  <c r="Y84" i="14"/>
  <c r="Z84" i="14"/>
  <c r="U84" i="14"/>
  <c r="M85" i="14"/>
  <c r="C38" i="15" s="1"/>
  <c r="V82" i="14"/>
  <c r="W82" i="14"/>
  <c r="X82" i="14"/>
  <c r="Y82" i="14"/>
  <c r="Z82" i="14"/>
  <c r="U82" i="14"/>
  <c r="U85" i="14"/>
  <c r="X85" i="14"/>
  <c r="V85" i="14"/>
  <c r="W85" i="14"/>
  <c r="Z85" i="14"/>
  <c r="Y85" i="14"/>
  <c r="Y83" i="14"/>
  <c r="Z83" i="14"/>
  <c r="U83" i="14"/>
  <c r="V83" i="14"/>
  <c r="W83" i="14"/>
  <c r="X83" i="14"/>
  <c r="S80" i="14"/>
  <c r="U80" i="14"/>
  <c r="V80" i="14"/>
  <c r="W80" i="14"/>
  <c r="X80" i="14"/>
  <c r="Y80" i="14"/>
  <c r="Z80" i="14"/>
  <c r="T80" i="14"/>
  <c r="U81" i="14"/>
  <c r="V81" i="14"/>
  <c r="W81" i="14"/>
  <c r="Y81" i="14"/>
  <c r="Z81" i="14"/>
  <c r="X81" i="14"/>
  <c r="L98" i="14"/>
  <c r="A115" i="14"/>
  <c r="A86" i="14"/>
  <c r="O86" i="14" s="1"/>
  <c r="F39" i="15" s="1"/>
  <c r="E41" i="5"/>
  <c r="A42" i="5"/>
  <c r="B42" i="5" s="1"/>
  <c r="C125" i="14"/>
  <c r="D125" i="14"/>
  <c r="D98" i="14"/>
  <c r="I32" i="14"/>
  <c r="T81" i="14" s="1"/>
  <c r="J26" i="14"/>
  <c r="I47" i="13"/>
  <c r="J41" i="13"/>
  <c r="D49" i="6"/>
  <c r="F49" i="6" s="1"/>
  <c r="K86" i="14" l="1"/>
  <c r="E39" i="15" s="1"/>
  <c r="S81" i="14"/>
  <c r="T108" i="14"/>
  <c r="AB108" i="14" s="1"/>
  <c r="AB105" i="14"/>
  <c r="AI114" i="14"/>
  <c r="S108" i="14"/>
  <c r="AA108" i="14" s="1"/>
  <c r="AB78" i="14"/>
  <c r="X115" i="14"/>
  <c r="K115" i="14"/>
  <c r="R34" i="15"/>
  <c r="AC34" i="15"/>
  <c r="A35" i="15"/>
  <c r="AI85" i="14"/>
  <c r="I115" i="14"/>
  <c r="Y115" i="14"/>
  <c r="V115" i="14"/>
  <c r="U115" i="14"/>
  <c r="Z115" i="14"/>
  <c r="V86" i="14"/>
  <c r="AG86" i="14"/>
  <c r="AE86" i="14"/>
  <c r="AE115" i="14"/>
  <c r="M115" i="14"/>
  <c r="AG115" i="14"/>
  <c r="W115" i="14"/>
  <c r="AB107" i="14"/>
  <c r="H125" i="14"/>
  <c r="AH125" i="14"/>
  <c r="AH98" i="14"/>
  <c r="AA107" i="14"/>
  <c r="C25" i="15"/>
  <c r="AB106" i="14"/>
  <c r="AA106" i="14"/>
  <c r="AA105" i="14"/>
  <c r="P49" i="6"/>
  <c r="T49" i="6" s="1"/>
  <c r="Z49" i="6"/>
  <c r="AA49" i="6"/>
  <c r="X49" i="6"/>
  <c r="V49" i="6"/>
  <c r="R49" i="6"/>
  <c r="O49" i="6"/>
  <c r="Y49" i="6"/>
  <c r="W49" i="6"/>
  <c r="Q49" i="6"/>
  <c r="AA81" i="14"/>
  <c r="X86" i="14"/>
  <c r="W86" i="14"/>
  <c r="M86" i="14"/>
  <c r="C39" i="15" s="1"/>
  <c r="AA80" i="14"/>
  <c r="U86" i="14"/>
  <c r="AA78" i="14"/>
  <c r="AB81" i="14"/>
  <c r="Z86" i="14"/>
  <c r="Y86" i="14"/>
  <c r="AB79" i="14"/>
  <c r="AB80" i="14"/>
  <c r="AA79" i="14"/>
  <c r="A87" i="14"/>
  <c r="O87" i="14" s="1"/>
  <c r="F40" i="15" s="1"/>
  <c r="A116" i="14"/>
  <c r="K116" i="14" s="1"/>
  <c r="E42" i="5"/>
  <c r="J49" i="6"/>
  <c r="Y5" i="15" s="1"/>
  <c r="K49" i="6"/>
  <c r="Y31" i="15" s="1"/>
  <c r="U5" i="15"/>
  <c r="G49" i="6"/>
  <c r="U31" i="15" s="1"/>
  <c r="A43" i="5"/>
  <c r="B43" i="5" s="1"/>
  <c r="K26" i="14"/>
  <c r="J32" i="14"/>
  <c r="T109" i="14" s="1"/>
  <c r="AB109" i="14" s="1"/>
  <c r="J47" i="13"/>
  <c r="K41" i="13"/>
  <c r="K87" i="14" l="1"/>
  <c r="E40" i="15" s="1"/>
  <c r="S82" i="14"/>
  <c r="AA82" i="14" s="1"/>
  <c r="S109" i="14"/>
  <c r="AA109" i="14" s="1"/>
  <c r="T82" i="14"/>
  <c r="AB82" i="14" s="1"/>
  <c r="AC49" i="6"/>
  <c r="AA31" i="15" s="1"/>
  <c r="R35" i="15"/>
  <c r="AC35" i="15"/>
  <c r="AA5" i="15"/>
  <c r="AB49" i="6"/>
  <c r="A36" i="15"/>
  <c r="M116" i="14"/>
  <c r="AE116" i="14"/>
  <c r="AG116" i="14"/>
  <c r="I116" i="14"/>
  <c r="W116" i="14"/>
  <c r="U116" i="14"/>
  <c r="X116" i="14"/>
  <c r="Z116" i="14"/>
  <c r="V116" i="14"/>
  <c r="Y116" i="14"/>
  <c r="AI86" i="14"/>
  <c r="AI115" i="14"/>
  <c r="AG87" i="14"/>
  <c r="AE87" i="14"/>
  <c r="S49" i="6"/>
  <c r="M87" i="14"/>
  <c r="C40" i="15" s="1"/>
  <c r="U87" i="14"/>
  <c r="V87" i="14"/>
  <c r="Z87" i="14"/>
  <c r="W87" i="14"/>
  <c r="X87" i="14"/>
  <c r="Y87" i="14"/>
  <c r="A117" i="14"/>
  <c r="K117" i="14" s="1"/>
  <c r="A88" i="14"/>
  <c r="O88" i="14" s="1"/>
  <c r="F41" i="15" s="1"/>
  <c r="E43" i="5"/>
  <c r="A44" i="5"/>
  <c r="B44" i="5" s="1"/>
  <c r="K32" i="14"/>
  <c r="S110" i="14" s="1"/>
  <c r="L26" i="14"/>
  <c r="K47" i="13"/>
  <c r="L41" i="13"/>
  <c r="B15" i="4"/>
  <c r="K88" i="14" l="1"/>
  <c r="E41" i="15" s="1"/>
  <c r="AI87" i="14"/>
  <c r="AI116" i="14"/>
  <c r="T110" i="14"/>
  <c r="AB110" i="14" s="1"/>
  <c r="S83" i="14"/>
  <c r="AA83" i="14" s="1"/>
  <c r="T83" i="14"/>
  <c r="AB83" i="14" s="1"/>
  <c r="R36" i="15"/>
  <c r="AC36" i="15"/>
  <c r="A37" i="15"/>
  <c r="M117" i="14"/>
  <c r="AG117" i="14"/>
  <c r="AE117" i="14"/>
  <c r="Y117" i="14"/>
  <c r="Z117" i="14"/>
  <c r="W117" i="14"/>
  <c r="X117" i="14"/>
  <c r="U117" i="14"/>
  <c r="I117" i="14"/>
  <c r="V117" i="14"/>
  <c r="AE88" i="14"/>
  <c r="AG88" i="14"/>
  <c r="AA110" i="14"/>
  <c r="M88" i="14"/>
  <c r="C41" i="15" s="1"/>
  <c r="Y88" i="14"/>
  <c r="U88" i="14"/>
  <c r="V88" i="14"/>
  <c r="X88" i="14"/>
  <c r="Z88" i="14"/>
  <c r="W88" i="14"/>
  <c r="A89" i="14"/>
  <c r="O89" i="14" s="1"/>
  <c r="F42" i="15" s="1"/>
  <c r="A118" i="14"/>
  <c r="K118" i="14" s="1"/>
  <c r="E44" i="5"/>
  <c r="A45" i="5"/>
  <c r="B45" i="5" s="1"/>
  <c r="M26" i="14"/>
  <c r="L32" i="14"/>
  <c r="S111" i="14" s="1"/>
  <c r="AA111" i="14" s="1"/>
  <c r="L47" i="13"/>
  <c r="M41" i="13"/>
  <c r="C49" i="9"/>
  <c r="D49" i="9" s="1"/>
  <c r="E49" i="9" s="1"/>
  <c r="F49" i="9" s="1"/>
  <c r="G49" i="9" s="1"/>
  <c r="H49" i="9" s="1"/>
  <c r="I49" i="9" s="1"/>
  <c r="J49" i="9" s="1"/>
  <c r="K49" i="9" s="1"/>
  <c r="L49" i="9" s="1"/>
  <c r="M49" i="9" s="1"/>
  <c r="N49" i="9" s="1"/>
  <c r="O49" i="9" s="1"/>
  <c r="P49" i="9" s="1"/>
  <c r="Q49" i="9" s="1"/>
  <c r="R49" i="9" s="1"/>
  <c r="S49" i="9" s="1"/>
  <c r="T49" i="9" s="1"/>
  <c r="U49" i="9" s="1"/>
  <c r="V49" i="9" s="1"/>
  <c r="W49" i="9" s="1"/>
  <c r="X49" i="9" s="1"/>
  <c r="Y49" i="9" s="1"/>
  <c r="Y48" i="9"/>
  <c r="X48" i="9"/>
  <c r="W48" i="9"/>
  <c r="V48" i="9"/>
  <c r="U48" i="9"/>
  <c r="T48" i="9"/>
  <c r="S48" i="9"/>
  <c r="R48" i="9"/>
  <c r="Q48" i="9"/>
  <c r="P48" i="9"/>
  <c r="O48" i="9"/>
  <c r="N48" i="9"/>
  <c r="M48" i="9"/>
  <c r="L48" i="9"/>
  <c r="K48" i="9"/>
  <c r="J48" i="9"/>
  <c r="I48" i="9"/>
  <c r="H48" i="9"/>
  <c r="G48" i="9"/>
  <c r="F48" i="9"/>
  <c r="E48" i="9"/>
  <c r="D48" i="9"/>
  <c r="C48" i="9"/>
  <c r="B48" i="9"/>
  <c r="Y47" i="9"/>
  <c r="X47" i="9"/>
  <c r="W47" i="9"/>
  <c r="V47" i="9"/>
  <c r="U47" i="9"/>
  <c r="T47" i="9"/>
  <c r="S47" i="9"/>
  <c r="R47" i="9"/>
  <c r="Q47" i="9"/>
  <c r="P47" i="9"/>
  <c r="O47" i="9"/>
  <c r="N47" i="9"/>
  <c r="M47" i="9"/>
  <c r="L47" i="9"/>
  <c r="K47" i="9"/>
  <c r="J47" i="9"/>
  <c r="I47" i="9"/>
  <c r="H47" i="9"/>
  <c r="G47" i="9"/>
  <c r="F47" i="9"/>
  <c r="E47" i="9"/>
  <c r="D47" i="9"/>
  <c r="C47" i="9"/>
  <c r="B47" i="9"/>
  <c r="Y46" i="9"/>
  <c r="X46" i="9"/>
  <c r="W46" i="9"/>
  <c r="V46" i="9"/>
  <c r="U46" i="9"/>
  <c r="T46" i="9"/>
  <c r="S46" i="9"/>
  <c r="R46" i="9"/>
  <c r="Q46" i="9"/>
  <c r="P46" i="9"/>
  <c r="O46" i="9"/>
  <c r="N46" i="9"/>
  <c r="M46" i="9"/>
  <c r="L46" i="9"/>
  <c r="K46" i="9"/>
  <c r="J46" i="9"/>
  <c r="I46" i="9"/>
  <c r="H46" i="9"/>
  <c r="G46" i="9"/>
  <c r="F46" i="9"/>
  <c r="E46" i="9"/>
  <c r="D46" i="9"/>
  <c r="C46" i="9"/>
  <c r="B46" i="9"/>
  <c r="Y45" i="9"/>
  <c r="X45" i="9"/>
  <c r="W45" i="9"/>
  <c r="V45" i="9"/>
  <c r="U45" i="9"/>
  <c r="T45" i="9"/>
  <c r="S45" i="9"/>
  <c r="R45" i="9"/>
  <c r="Q45" i="9"/>
  <c r="P45" i="9"/>
  <c r="O45" i="9"/>
  <c r="N45" i="9"/>
  <c r="M45" i="9"/>
  <c r="L45" i="9"/>
  <c r="K45" i="9"/>
  <c r="J45" i="9"/>
  <c r="I45" i="9"/>
  <c r="H45" i="9"/>
  <c r="G45" i="9"/>
  <c r="F45" i="9"/>
  <c r="E45" i="9"/>
  <c r="D45" i="9"/>
  <c r="C45" i="9"/>
  <c r="B45" i="9"/>
  <c r="C43" i="9"/>
  <c r="D43" i="9" s="1"/>
  <c r="E43" i="9" s="1"/>
  <c r="F43" i="9" s="1"/>
  <c r="G43" i="9" s="1"/>
  <c r="H43" i="9" s="1"/>
  <c r="I43" i="9" s="1"/>
  <c r="J43" i="9" s="1"/>
  <c r="K43" i="9" s="1"/>
  <c r="L43" i="9" s="1"/>
  <c r="M43" i="9" s="1"/>
  <c r="N43" i="9" s="1"/>
  <c r="O43" i="9" s="1"/>
  <c r="P43" i="9" s="1"/>
  <c r="Q43" i="9" s="1"/>
  <c r="R43" i="9" s="1"/>
  <c r="S43" i="9" s="1"/>
  <c r="T43" i="9" s="1"/>
  <c r="U43" i="9" s="1"/>
  <c r="V43" i="9" s="1"/>
  <c r="W43" i="9" s="1"/>
  <c r="X43" i="9" s="1"/>
  <c r="Y43" i="9" s="1"/>
  <c r="C37" i="9"/>
  <c r="D37" i="9" s="1"/>
  <c r="E37" i="9" s="1"/>
  <c r="F37" i="9" s="1"/>
  <c r="G37" i="9" s="1"/>
  <c r="H37" i="9" s="1"/>
  <c r="I37" i="9" s="1"/>
  <c r="J37" i="9" s="1"/>
  <c r="K37" i="9" s="1"/>
  <c r="L37" i="9" s="1"/>
  <c r="M37" i="9" s="1"/>
  <c r="N37" i="9" s="1"/>
  <c r="O37" i="9" s="1"/>
  <c r="P37" i="9" s="1"/>
  <c r="Q37" i="9" s="1"/>
  <c r="R37" i="9" s="1"/>
  <c r="S37" i="9" s="1"/>
  <c r="T37" i="9" s="1"/>
  <c r="U37" i="9" s="1"/>
  <c r="V37" i="9" s="1"/>
  <c r="W37" i="9" s="1"/>
  <c r="X37" i="9" s="1"/>
  <c r="Y37" i="9" s="1"/>
  <c r="K89" i="14" l="1"/>
  <c r="E42" i="15" s="1"/>
  <c r="T84" i="14"/>
  <c r="AB84" i="14" s="1"/>
  <c r="S84" i="14"/>
  <c r="AA84" i="14" s="1"/>
  <c r="T111" i="14"/>
  <c r="AB111" i="14" s="1"/>
  <c r="R37" i="15"/>
  <c r="AC37" i="15"/>
  <c r="A38" i="15"/>
  <c r="AI88" i="14"/>
  <c r="AI117" i="14"/>
  <c r="AG89" i="14"/>
  <c r="AE89" i="14"/>
  <c r="AG118" i="14"/>
  <c r="M118" i="14"/>
  <c r="AE118" i="14"/>
  <c r="U118" i="14"/>
  <c r="Z118" i="14"/>
  <c r="I118" i="14"/>
  <c r="W118" i="14"/>
  <c r="X118" i="14"/>
  <c r="Y118" i="14"/>
  <c r="V118" i="14"/>
  <c r="M89" i="14"/>
  <c r="C42" i="15" s="1"/>
  <c r="Z89" i="14"/>
  <c r="U89" i="14"/>
  <c r="V89" i="14"/>
  <c r="W89" i="14"/>
  <c r="X89" i="14"/>
  <c r="Y89" i="14"/>
  <c r="A119" i="14"/>
  <c r="K119" i="14" s="1"/>
  <c r="A90" i="14"/>
  <c r="O90" i="14" s="1"/>
  <c r="F43" i="15" s="1"/>
  <c r="E45" i="5"/>
  <c r="A46" i="5"/>
  <c r="B46" i="5" s="1"/>
  <c r="B35" i="9"/>
  <c r="B38" i="9" s="1"/>
  <c r="M32" i="14"/>
  <c r="S112" i="14" s="1"/>
  <c r="P26" i="14"/>
  <c r="N41" i="13"/>
  <c r="M47" i="13"/>
  <c r="F23" i="9"/>
  <c r="E23" i="9"/>
  <c r="C9" i="7"/>
  <c r="C10" i="7"/>
  <c r="B11" i="5"/>
  <c r="D17" i="5"/>
  <c r="D16" i="5"/>
  <c r="D15" i="5"/>
  <c r="B21" i="5"/>
  <c r="B22" i="5" s="1"/>
  <c r="S15" i="5"/>
  <c r="S16" i="5"/>
  <c r="S17" i="5"/>
  <c r="B31" i="7"/>
  <c r="C29" i="7"/>
  <c r="C30" i="7"/>
  <c r="S85" i="14" l="1"/>
  <c r="AA85" i="14" s="1"/>
  <c r="K90" i="14"/>
  <c r="E43" i="15" s="1"/>
  <c r="AI89" i="14"/>
  <c r="T85" i="14"/>
  <c r="AB85" i="14" s="1"/>
  <c r="T112" i="14"/>
  <c r="AB76" i="9"/>
  <c r="AB78" i="9"/>
  <c r="AB69" i="9"/>
  <c r="AB72" i="9"/>
  <c r="AB71" i="9"/>
  <c r="AB74" i="9"/>
  <c r="AB73" i="9"/>
  <c r="AB62" i="9"/>
  <c r="AB63" i="9"/>
  <c r="AB68" i="9"/>
  <c r="AB66" i="9"/>
  <c r="AB60" i="9"/>
  <c r="AB65" i="9"/>
  <c r="AB64" i="9"/>
  <c r="AB77" i="9"/>
  <c r="AB67" i="9"/>
  <c r="AB70" i="9"/>
  <c r="AB75" i="9"/>
  <c r="AB79" i="9"/>
  <c r="AB61" i="9"/>
  <c r="Z77" i="9"/>
  <c r="Z61" i="9"/>
  <c r="AD61" i="9" s="1"/>
  <c r="Z64" i="9"/>
  <c r="AD64" i="9" s="1"/>
  <c r="Z60" i="9"/>
  <c r="Z79" i="9"/>
  <c r="AD79" i="9" s="1"/>
  <c r="Z71" i="9"/>
  <c r="AD71" i="9" s="1"/>
  <c r="Z75" i="9"/>
  <c r="Z66" i="9"/>
  <c r="AD66" i="9" s="1"/>
  <c r="Z63" i="9"/>
  <c r="AD63" i="9" s="1"/>
  <c r="Z76" i="9"/>
  <c r="Z73" i="9"/>
  <c r="AD73" i="9" s="1"/>
  <c r="Z62" i="9"/>
  <c r="AD62" i="9" s="1"/>
  <c r="Z65" i="9"/>
  <c r="AD65" i="9" s="1"/>
  <c r="Z74" i="9"/>
  <c r="AD74" i="9" s="1"/>
  <c r="Z67" i="9"/>
  <c r="Z70" i="9"/>
  <c r="Z69" i="9"/>
  <c r="AD69" i="9" s="1"/>
  <c r="Z72" i="9"/>
  <c r="AD72" i="9" s="1"/>
  <c r="Z78" i="9"/>
  <c r="Z68" i="9"/>
  <c r="B17" i="5"/>
  <c r="C17" i="5" s="1"/>
  <c r="V41" i="5" s="1"/>
  <c r="V16" i="5"/>
  <c r="R38" i="15"/>
  <c r="AC38" i="15"/>
  <c r="A39" i="15"/>
  <c r="AI118" i="14"/>
  <c r="AE90" i="14"/>
  <c r="AG90" i="14"/>
  <c r="AG119" i="14"/>
  <c r="M119" i="14"/>
  <c r="AE119" i="14"/>
  <c r="I119" i="14"/>
  <c r="X119" i="14"/>
  <c r="Z119" i="14"/>
  <c r="U119" i="14"/>
  <c r="V119" i="14"/>
  <c r="Y119" i="14"/>
  <c r="W119" i="14"/>
  <c r="AB112" i="14"/>
  <c r="V42" i="5"/>
  <c r="U42" i="5"/>
  <c r="U43" i="5"/>
  <c r="V43" i="5"/>
  <c r="U44" i="5"/>
  <c r="AA112" i="14"/>
  <c r="M90" i="14"/>
  <c r="C43" i="15" s="1"/>
  <c r="Z90" i="14"/>
  <c r="U90" i="14"/>
  <c r="V90" i="14"/>
  <c r="W90" i="14"/>
  <c r="X90" i="14"/>
  <c r="Y90" i="14"/>
  <c r="A120" i="14"/>
  <c r="K120" i="14" s="1"/>
  <c r="A91" i="14"/>
  <c r="O91" i="14" s="1"/>
  <c r="F44" i="15" s="1"/>
  <c r="D46" i="5"/>
  <c r="H46" i="5" s="1"/>
  <c r="E46" i="5"/>
  <c r="D41" i="5"/>
  <c r="G41" i="5" s="1"/>
  <c r="D42" i="5"/>
  <c r="D43" i="5"/>
  <c r="D44" i="5"/>
  <c r="D45" i="5"/>
  <c r="A47" i="5"/>
  <c r="B47" i="5" s="1"/>
  <c r="B44" i="9"/>
  <c r="C38" i="9"/>
  <c r="C44" i="9" s="1"/>
  <c r="Q26" i="14"/>
  <c r="P32" i="14"/>
  <c r="T113" i="14" s="1"/>
  <c r="AB113" i="14" s="1"/>
  <c r="O41" i="13"/>
  <c r="N47" i="13"/>
  <c r="C15" i="5"/>
  <c r="Z44" i="5" s="1"/>
  <c r="V17" i="5"/>
  <c r="C16" i="5" s="1"/>
  <c r="W43" i="5" s="1"/>
  <c r="C11" i="7"/>
  <c r="C12" i="7"/>
  <c r="C13" i="7"/>
  <c r="C14" i="7"/>
  <c r="C15" i="7"/>
  <c r="C16" i="7"/>
  <c r="C17" i="7"/>
  <c r="C18" i="7"/>
  <c r="C19" i="7"/>
  <c r="C20" i="7"/>
  <c r="C21" i="7"/>
  <c r="C22" i="7"/>
  <c r="C23" i="7"/>
  <c r="C24" i="7"/>
  <c r="C25" i="7"/>
  <c r="C26" i="7"/>
  <c r="C27" i="7"/>
  <c r="C28" i="7"/>
  <c r="C31" i="7" s="1"/>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D5" i="3"/>
  <c r="C5" i="3"/>
  <c r="B10" i="4"/>
  <c r="B11" i="4"/>
  <c r="F23" i="3"/>
  <c r="F22" i="3" s="1"/>
  <c r="F21" i="3" s="1"/>
  <c r="F20" i="3" s="1"/>
  <c r="F19" i="3" s="1"/>
  <c r="F18" i="3" s="1"/>
  <c r="F17" i="3" s="1"/>
  <c r="F16" i="3" s="1"/>
  <c r="F15" i="3" s="1"/>
  <c r="F14" i="3" s="1"/>
  <c r="F13" i="3" s="1"/>
  <c r="F12" i="3" s="1"/>
  <c r="F11" i="3" s="1"/>
  <c r="F10" i="3" s="1"/>
  <c r="F9" i="3" s="1"/>
  <c r="F8" i="3" s="1"/>
  <c r="F7" i="3" s="1"/>
  <c r="F6" i="3" s="1"/>
  <c r="F5" i="3" s="1"/>
  <c r="F4" i="3" s="1"/>
  <c r="K91" i="14" l="1"/>
  <c r="E44" i="15" s="1"/>
  <c r="S86" i="14"/>
  <c r="T86" i="14"/>
  <c r="AB86" i="14" s="1"/>
  <c r="S113" i="14"/>
  <c r="AA113" i="14" s="1"/>
  <c r="AD77" i="9"/>
  <c r="AD68" i="9"/>
  <c r="Z80" i="9"/>
  <c r="AD60" i="9"/>
  <c r="AD70" i="9"/>
  <c r="AB80" i="9"/>
  <c r="AD78" i="9"/>
  <c r="AD76" i="9"/>
  <c r="AD67" i="9"/>
  <c r="AD75" i="9"/>
  <c r="X42" i="5"/>
  <c r="W42" i="5"/>
  <c r="W44" i="5"/>
  <c r="W45" i="5"/>
  <c r="X45" i="5"/>
  <c r="X41" i="5"/>
  <c r="W41" i="5"/>
  <c r="X43" i="5"/>
  <c r="AB43" i="5" s="1"/>
  <c r="V45" i="5"/>
  <c r="U41" i="5"/>
  <c r="V44" i="5"/>
  <c r="X44" i="5"/>
  <c r="AB44" i="5" s="1"/>
  <c r="U45" i="5"/>
  <c r="R39" i="15"/>
  <c r="AC39" i="15"/>
  <c r="Y44" i="5"/>
  <c r="Z43" i="5"/>
  <c r="Z45" i="5"/>
  <c r="Y43" i="5"/>
  <c r="AA43" i="5" s="1"/>
  <c r="Y45" i="5"/>
  <c r="Z42" i="5"/>
  <c r="AB42" i="5" s="1"/>
  <c r="Y42" i="5"/>
  <c r="AA42" i="5" s="1"/>
  <c r="Z41" i="5"/>
  <c r="Y41" i="5"/>
  <c r="AA41" i="5" s="1"/>
  <c r="A40" i="15"/>
  <c r="AI119" i="14"/>
  <c r="AE91" i="14"/>
  <c r="AG91" i="14"/>
  <c r="AI90" i="14"/>
  <c r="M120" i="14"/>
  <c r="AE120" i="14"/>
  <c r="AG120" i="14"/>
  <c r="X120" i="14"/>
  <c r="Y120" i="14"/>
  <c r="U120" i="14"/>
  <c r="W120" i="14"/>
  <c r="Z120" i="14"/>
  <c r="I120" i="14"/>
  <c r="V120" i="14"/>
  <c r="J36" i="15"/>
  <c r="Q41" i="5"/>
  <c r="P41" i="5"/>
  <c r="O41" i="5"/>
  <c r="H41" i="5"/>
  <c r="W46" i="5"/>
  <c r="X46" i="5"/>
  <c r="U46" i="5"/>
  <c r="V46" i="5"/>
  <c r="Y46" i="5"/>
  <c r="Z46" i="5"/>
  <c r="N46" i="5"/>
  <c r="O46" i="5"/>
  <c r="P46" i="5"/>
  <c r="Q46" i="5"/>
  <c r="G46" i="5"/>
  <c r="N42" i="5"/>
  <c r="O42" i="5"/>
  <c r="Q42" i="5"/>
  <c r="P42" i="5"/>
  <c r="H42" i="5"/>
  <c r="G42" i="5"/>
  <c r="N45" i="5"/>
  <c r="O45" i="5"/>
  <c r="P45" i="5"/>
  <c r="Q45" i="5"/>
  <c r="G45" i="5"/>
  <c r="H45" i="5"/>
  <c r="N43" i="5"/>
  <c r="O43" i="5"/>
  <c r="P43" i="5"/>
  <c r="Q43" i="5"/>
  <c r="G43" i="5"/>
  <c r="H43" i="5"/>
  <c r="N44" i="5"/>
  <c r="O44" i="5"/>
  <c r="Q44" i="5"/>
  <c r="P44" i="5"/>
  <c r="H44" i="5"/>
  <c r="G44" i="5"/>
  <c r="AA86" i="14"/>
  <c r="M91" i="14"/>
  <c r="C44" i="15" s="1"/>
  <c r="X91" i="14"/>
  <c r="Y91" i="14"/>
  <c r="Z91" i="14"/>
  <c r="V91" i="14"/>
  <c r="U91" i="14"/>
  <c r="W91" i="14"/>
  <c r="A121" i="14"/>
  <c r="K121" i="14" s="1"/>
  <c r="A92" i="14"/>
  <c r="O92" i="14" s="1"/>
  <c r="F45" i="15" s="1"/>
  <c r="D38" i="9"/>
  <c r="E38" i="9" s="1"/>
  <c r="D47" i="5"/>
  <c r="G47" i="5" s="1"/>
  <c r="E47" i="5"/>
  <c r="C18" i="4"/>
  <c r="A48" i="5"/>
  <c r="B48" i="5" s="1"/>
  <c r="R26" i="14"/>
  <c r="Q32" i="14"/>
  <c r="S87" i="14" s="1"/>
  <c r="AA87" i="14" s="1"/>
  <c r="P41" i="13"/>
  <c r="O47" i="13"/>
  <c r="D18" i="5"/>
  <c r="B23" i="5" s="1"/>
  <c r="S41" i="5" l="1"/>
  <c r="AE41" i="5" s="1"/>
  <c r="K92" i="14"/>
  <c r="E45" i="15" s="1"/>
  <c r="T87" i="14"/>
  <c r="AB87" i="14" s="1"/>
  <c r="T114" i="14"/>
  <c r="AB114" i="14" s="1"/>
  <c r="S114" i="14"/>
  <c r="AD80" i="9"/>
  <c r="Z5" i="15"/>
  <c r="D44" i="9"/>
  <c r="AB41" i="5"/>
  <c r="AA45" i="5"/>
  <c r="AA44" i="5"/>
  <c r="AB45" i="5"/>
  <c r="R40" i="15"/>
  <c r="AC40" i="15"/>
  <c r="A41" i="15"/>
  <c r="AI91" i="14"/>
  <c r="M121" i="14"/>
  <c r="AG121" i="14"/>
  <c r="AE121" i="14"/>
  <c r="U121" i="14"/>
  <c r="V121" i="14"/>
  <c r="I121" i="14"/>
  <c r="Z121" i="14"/>
  <c r="W121" i="14"/>
  <c r="X121" i="14"/>
  <c r="Y121" i="14"/>
  <c r="AI120" i="14"/>
  <c r="AG92" i="14"/>
  <c r="AE92" i="14"/>
  <c r="S42" i="5"/>
  <c r="H47" i="5"/>
  <c r="AB46" i="5"/>
  <c r="S44" i="5"/>
  <c r="S45" i="5"/>
  <c r="R42" i="5"/>
  <c r="R44" i="5"/>
  <c r="S43" i="5"/>
  <c r="R43" i="5"/>
  <c r="J11" i="15"/>
  <c r="R45" i="5"/>
  <c r="J34" i="15"/>
  <c r="J6" i="15"/>
  <c r="R46" i="5"/>
  <c r="J33" i="15"/>
  <c r="J35" i="15"/>
  <c r="J32" i="15"/>
  <c r="R41" i="5"/>
  <c r="AA46" i="5"/>
  <c r="J8" i="15"/>
  <c r="S46" i="5"/>
  <c r="W47" i="5"/>
  <c r="X47" i="5"/>
  <c r="U47" i="5"/>
  <c r="V47" i="5"/>
  <c r="Y47" i="5"/>
  <c r="Z47" i="5"/>
  <c r="J7" i="15"/>
  <c r="J9" i="15"/>
  <c r="J10" i="15"/>
  <c r="J31" i="15"/>
  <c r="AA114" i="14"/>
  <c r="N47" i="5"/>
  <c r="O47" i="5"/>
  <c r="P47" i="5"/>
  <c r="Q47" i="5"/>
  <c r="J5" i="15"/>
  <c r="M92" i="14"/>
  <c r="C45" i="15" s="1"/>
  <c r="Y92" i="14"/>
  <c r="Z92" i="14"/>
  <c r="X92" i="14"/>
  <c r="U92" i="14"/>
  <c r="V92" i="14"/>
  <c r="W92" i="14"/>
  <c r="A93" i="14"/>
  <c r="O93" i="14" s="1"/>
  <c r="F46" i="15" s="1"/>
  <c r="A122" i="14"/>
  <c r="K122" i="14" s="1"/>
  <c r="E48" i="5"/>
  <c r="D48" i="5"/>
  <c r="A49" i="5"/>
  <c r="B49" i="5" s="1"/>
  <c r="R32" i="14"/>
  <c r="S115" i="14" s="1"/>
  <c r="AA115" i="14" s="1"/>
  <c r="S26" i="14"/>
  <c r="P47" i="13"/>
  <c r="Q41" i="13"/>
  <c r="F38" i="9"/>
  <c r="E44" i="9"/>
  <c r="B63" i="9"/>
  <c r="D63" i="9" s="1"/>
  <c r="B64" i="9"/>
  <c r="D64" i="9" s="1"/>
  <c r="B65" i="9"/>
  <c r="D65" i="9" s="1"/>
  <c r="B66" i="9"/>
  <c r="D66" i="9" s="1"/>
  <c r="B67" i="9"/>
  <c r="D67" i="9" s="1"/>
  <c r="B68" i="9"/>
  <c r="D68" i="9" s="1"/>
  <c r="B69" i="9"/>
  <c r="D69" i="9" s="1"/>
  <c r="B70" i="9"/>
  <c r="D70" i="9" s="1"/>
  <c r="B71" i="9"/>
  <c r="D71" i="9" s="1"/>
  <c r="B72" i="9"/>
  <c r="D72" i="9" s="1"/>
  <c r="B73" i="9"/>
  <c r="D73" i="9" s="1"/>
  <c r="B74" i="9"/>
  <c r="D74" i="9" s="1"/>
  <c r="B75" i="9"/>
  <c r="D75" i="9" s="1"/>
  <c r="B76" i="9"/>
  <c r="D76" i="9" s="1"/>
  <c r="B77" i="9"/>
  <c r="D77" i="9" s="1"/>
  <c r="B78" i="9"/>
  <c r="D78" i="9" s="1"/>
  <c r="B79" i="9"/>
  <c r="D79" i="9" s="1"/>
  <c r="K93" i="14" l="1"/>
  <c r="E46" i="15" s="1"/>
  <c r="T115" i="14"/>
  <c r="AB115" i="14" s="1"/>
  <c r="T88" i="14"/>
  <c r="AB88" i="14" s="1"/>
  <c r="S88" i="14"/>
  <c r="AA88" i="14" s="1"/>
  <c r="J37" i="15"/>
  <c r="R41" i="15"/>
  <c r="AC41" i="15"/>
  <c r="AE46" i="5"/>
  <c r="AE45" i="5"/>
  <c r="AE44" i="5"/>
  <c r="A42" i="15"/>
  <c r="AE42" i="5"/>
  <c r="AI121" i="14"/>
  <c r="AG122" i="14"/>
  <c r="AE122" i="14"/>
  <c r="M122" i="14"/>
  <c r="Z122" i="14"/>
  <c r="W122" i="14"/>
  <c r="U122" i="14"/>
  <c r="X122" i="14"/>
  <c r="I122" i="14"/>
  <c r="Y122" i="14"/>
  <c r="V122" i="14"/>
  <c r="AG93" i="14"/>
  <c r="AE93" i="14"/>
  <c r="AI92" i="14"/>
  <c r="AD44" i="5"/>
  <c r="AE43" i="5"/>
  <c r="AD45" i="5"/>
  <c r="AD42" i="5"/>
  <c r="N48" i="5"/>
  <c r="O48" i="5"/>
  <c r="P48" i="5"/>
  <c r="Q48" i="5"/>
  <c r="Y48" i="5"/>
  <c r="Z48" i="5"/>
  <c r="W48" i="5"/>
  <c r="X48" i="5"/>
  <c r="U48" i="5"/>
  <c r="V48" i="5"/>
  <c r="H48" i="5"/>
  <c r="AD43" i="5"/>
  <c r="AA47" i="5"/>
  <c r="G48" i="5"/>
  <c r="S47" i="5"/>
  <c r="AD46" i="5"/>
  <c r="R47" i="5"/>
  <c r="AD41" i="5"/>
  <c r="AB47" i="5"/>
  <c r="M93" i="14"/>
  <c r="C46" i="15" s="1"/>
  <c r="V93" i="14"/>
  <c r="U93" i="14"/>
  <c r="W93" i="14"/>
  <c r="X93" i="14"/>
  <c r="Y93" i="14"/>
  <c r="Z93" i="14"/>
  <c r="A94" i="14"/>
  <c r="O94" i="14" s="1"/>
  <c r="F47" i="15" s="1"/>
  <c r="A123" i="14"/>
  <c r="K123" i="14" s="1"/>
  <c r="D49" i="5"/>
  <c r="G49" i="5" s="1"/>
  <c r="E49" i="5"/>
  <c r="A50" i="5"/>
  <c r="B50" i="5" s="1"/>
  <c r="S32" i="14"/>
  <c r="S116" i="14" s="1"/>
  <c r="T26" i="14"/>
  <c r="Q47" i="13"/>
  <c r="R41" i="13"/>
  <c r="G38" i="9"/>
  <c r="F44" i="9"/>
  <c r="B61" i="9"/>
  <c r="B62" i="9"/>
  <c r="D62" i="9" s="1"/>
  <c r="A60" i="9"/>
  <c r="K94" i="14" l="1"/>
  <c r="E47" i="15" s="1"/>
  <c r="T89" i="14"/>
  <c r="AB89" i="14" s="1"/>
  <c r="T116" i="14"/>
  <c r="AB116" i="14" s="1"/>
  <c r="S89" i="14"/>
  <c r="AA89" i="14" s="1"/>
  <c r="K60" i="9"/>
  <c r="G60" i="9"/>
  <c r="K31" i="15" s="1"/>
  <c r="R42" i="15"/>
  <c r="AC42" i="15"/>
  <c r="AC60" i="9"/>
  <c r="AA60" i="9"/>
  <c r="AE60" i="9" s="1"/>
  <c r="A43" i="15"/>
  <c r="AI93" i="14"/>
  <c r="AI122" i="14"/>
  <c r="AE123" i="14"/>
  <c r="AG123" i="14"/>
  <c r="M123" i="14"/>
  <c r="V123" i="14"/>
  <c r="I123" i="14"/>
  <c r="Y123" i="14"/>
  <c r="W123" i="14"/>
  <c r="U123" i="14"/>
  <c r="X123" i="14"/>
  <c r="Z123" i="14"/>
  <c r="AE94" i="14"/>
  <c r="AG94" i="14"/>
  <c r="AE47" i="5"/>
  <c r="S48" i="5"/>
  <c r="J13" i="15"/>
  <c r="H49" i="5"/>
  <c r="R48" i="5"/>
  <c r="W49" i="5"/>
  <c r="X49" i="5"/>
  <c r="V49" i="5"/>
  <c r="U49" i="5"/>
  <c r="Y49" i="5"/>
  <c r="Z49" i="5"/>
  <c r="J38" i="15"/>
  <c r="N49" i="5"/>
  <c r="O49" i="5"/>
  <c r="P49" i="5"/>
  <c r="Q49" i="5"/>
  <c r="AA116" i="14"/>
  <c r="AB48" i="5"/>
  <c r="AD47" i="5"/>
  <c r="AA48" i="5"/>
  <c r="V24" i="6"/>
  <c r="Z24" i="6"/>
  <c r="W24" i="6"/>
  <c r="X24" i="6"/>
  <c r="AA24" i="6"/>
  <c r="Y24" i="6"/>
  <c r="J12" i="15"/>
  <c r="M94" i="14"/>
  <c r="C47" i="15" s="1"/>
  <c r="Y94" i="14"/>
  <c r="Z94" i="14"/>
  <c r="U94" i="14"/>
  <c r="X94" i="14"/>
  <c r="V94" i="14"/>
  <c r="W94" i="14"/>
  <c r="A95" i="14"/>
  <c r="O95" i="14" s="1"/>
  <c r="F48" i="15" s="1"/>
  <c r="A124" i="14"/>
  <c r="K124" i="14" s="1"/>
  <c r="E50" i="5"/>
  <c r="D50" i="5"/>
  <c r="G50" i="5" s="1"/>
  <c r="Q24" i="6"/>
  <c r="R24" i="6"/>
  <c r="P24" i="6"/>
  <c r="T24" i="6" s="1"/>
  <c r="J24" i="6"/>
  <c r="N5" i="15" s="1"/>
  <c r="G24" i="6"/>
  <c r="I31" i="15" s="1"/>
  <c r="K24" i="6"/>
  <c r="N31" i="15" s="1"/>
  <c r="A61" i="9"/>
  <c r="A51" i="5"/>
  <c r="B51" i="5" s="1"/>
  <c r="T32" i="14"/>
  <c r="T117" i="14" s="1"/>
  <c r="AB117" i="14" s="1"/>
  <c r="U26" i="14"/>
  <c r="R47" i="13"/>
  <c r="S41" i="13"/>
  <c r="H38" i="9"/>
  <c r="G44" i="9"/>
  <c r="D60" i="9"/>
  <c r="B80" i="9"/>
  <c r="D61" i="9"/>
  <c r="S117" i="14" l="1"/>
  <c r="AA117" i="14" s="1"/>
  <c r="K95" i="14"/>
  <c r="E48" i="15" s="1"/>
  <c r="T90" i="14"/>
  <c r="AB90" i="14" s="1"/>
  <c r="S90" i="14"/>
  <c r="AA90" i="14" s="1"/>
  <c r="O31" i="15"/>
  <c r="R43" i="15"/>
  <c r="AC43" i="15"/>
  <c r="Z31" i="15"/>
  <c r="K61" i="9"/>
  <c r="G61" i="9"/>
  <c r="K32" i="15" s="1"/>
  <c r="AA61" i="9"/>
  <c r="AC61" i="9"/>
  <c r="A44" i="15"/>
  <c r="AI123" i="14"/>
  <c r="AI94" i="14"/>
  <c r="AG95" i="14"/>
  <c r="AE95" i="14"/>
  <c r="K125" i="14"/>
  <c r="AG124" i="14"/>
  <c r="AG125" i="14" s="1"/>
  <c r="M124" i="14"/>
  <c r="M125" i="14" s="1"/>
  <c r="AE124" i="14"/>
  <c r="Z124" i="14"/>
  <c r="Z125" i="14" s="1"/>
  <c r="V124" i="14"/>
  <c r="V125" i="14" s="1"/>
  <c r="I124" i="14"/>
  <c r="I125" i="14" s="1"/>
  <c r="W124" i="14"/>
  <c r="W125" i="14" s="1"/>
  <c r="U124" i="14"/>
  <c r="U125" i="14" s="1"/>
  <c r="Y124" i="14"/>
  <c r="Y125" i="14" s="1"/>
  <c r="X124" i="14"/>
  <c r="X125" i="14" s="1"/>
  <c r="S49" i="5"/>
  <c r="J14" i="15"/>
  <c r="AC24" i="6"/>
  <c r="P31" i="15" s="1"/>
  <c r="H50" i="5"/>
  <c r="R49" i="5"/>
  <c r="T61" i="9"/>
  <c r="V61" i="9"/>
  <c r="O61" i="9"/>
  <c r="S61" i="9"/>
  <c r="U61" i="9"/>
  <c r="P61" i="9"/>
  <c r="Q61" i="9"/>
  <c r="R61" i="9"/>
  <c r="O5" i="15"/>
  <c r="AD48" i="5"/>
  <c r="P5" i="15"/>
  <c r="AB24" i="6"/>
  <c r="W50" i="5"/>
  <c r="X50" i="5"/>
  <c r="U50" i="5"/>
  <c r="V50" i="5"/>
  <c r="Y50" i="5"/>
  <c r="Z50" i="5"/>
  <c r="Q60" i="9"/>
  <c r="O60" i="9"/>
  <c r="P60" i="9"/>
  <c r="T60" i="9"/>
  <c r="U60" i="9"/>
  <c r="R60" i="9"/>
  <c r="V60" i="9"/>
  <c r="S60" i="9"/>
  <c r="AE48" i="5"/>
  <c r="AA49" i="5"/>
  <c r="N50" i="5"/>
  <c r="O50" i="5"/>
  <c r="P50" i="5"/>
  <c r="Q50" i="5"/>
  <c r="AB49" i="5"/>
  <c r="J39" i="15"/>
  <c r="M95" i="14"/>
  <c r="C48" i="15" s="1"/>
  <c r="U95" i="14"/>
  <c r="V95" i="14"/>
  <c r="Y95" i="14"/>
  <c r="Z95" i="14"/>
  <c r="W95" i="14"/>
  <c r="X95" i="14"/>
  <c r="A96" i="14"/>
  <c r="O96" i="14" s="1"/>
  <c r="F49" i="15" s="1"/>
  <c r="E51" i="5"/>
  <c r="D51" i="5"/>
  <c r="H51" i="5" s="1"/>
  <c r="S24" i="6"/>
  <c r="A62" i="9"/>
  <c r="A52" i="5"/>
  <c r="B52" i="5" s="1"/>
  <c r="U32" i="14"/>
  <c r="S91" i="14" s="1"/>
  <c r="AA91" i="14" s="1"/>
  <c r="V26" i="14"/>
  <c r="S47" i="13"/>
  <c r="T41" i="13"/>
  <c r="I38" i="9"/>
  <c r="H44" i="9"/>
  <c r="D80" i="9"/>
  <c r="T91" i="14" l="1"/>
  <c r="AB91" i="14" s="1"/>
  <c r="K96" i="14"/>
  <c r="E49" i="15" s="1"/>
  <c r="T118" i="14"/>
  <c r="AB118" i="14" s="1"/>
  <c r="S118" i="14"/>
  <c r="AA118" i="14" s="1"/>
  <c r="X60" i="9"/>
  <c r="R44" i="15"/>
  <c r="AC44" i="15"/>
  <c r="G62" i="9"/>
  <c r="K33" i="15" s="1"/>
  <c r="K62" i="9"/>
  <c r="AA62" i="9"/>
  <c r="AC62" i="9"/>
  <c r="S62" i="9"/>
  <c r="Q62" i="9"/>
  <c r="U62" i="9"/>
  <c r="R62" i="9"/>
  <c r="T62" i="9"/>
  <c r="V62" i="9"/>
  <c r="O62" i="9"/>
  <c r="AE61" i="9"/>
  <c r="P62" i="9"/>
  <c r="A45" i="15"/>
  <c r="AI124" i="14"/>
  <c r="AE125" i="14"/>
  <c r="AE96" i="14"/>
  <c r="AG96" i="14"/>
  <c r="AI95" i="14"/>
  <c r="AA50" i="5"/>
  <c r="R50" i="5"/>
  <c r="AD50" i="5" s="1"/>
  <c r="AE49" i="5"/>
  <c r="AB50" i="5"/>
  <c r="J41" i="15"/>
  <c r="G51" i="5"/>
  <c r="W60" i="9"/>
  <c r="Q5" i="15" s="1"/>
  <c r="S50" i="5"/>
  <c r="AD49" i="5"/>
  <c r="X61" i="9"/>
  <c r="N51" i="5"/>
  <c r="O51" i="5"/>
  <c r="P51" i="5"/>
  <c r="Q51" i="5"/>
  <c r="J40" i="15"/>
  <c r="Y51" i="5"/>
  <c r="Z51" i="5"/>
  <c r="X51" i="5"/>
  <c r="W51" i="5"/>
  <c r="U51" i="5"/>
  <c r="V51" i="5"/>
  <c r="W61" i="9"/>
  <c r="M96" i="14"/>
  <c r="C49" i="15" s="1"/>
  <c r="W96" i="14"/>
  <c r="Z96" i="14"/>
  <c r="X96" i="14"/>
  <c r="Y96" i="14"/>
  <c r="V96" i="14"/>
  <c r="U96" i="14"/>
  <c r="T92" i="14"/>
  <c r="AB92" i="14" s="1"/>
  <c r="A97" i="14"/>
  <c r="O97" i="14" s="1"/>
  <c r="F50" i="15" s="1"/>
  <c r="F51" i="15" s="1"/>
  <c r="AI125" i="14"/>
  <c r="E52" i="5"/>
  <c r="D52" i="5"/>
  <c r="G52" i="5" s="1"/>
  <c r="A63" i="9"/>
  <c r="P63" i="9" s="1"/>
  <c r="A53" i="5"/>
  <c r="B53" i="5" s="1"/>
  <c r="V32" i="14"/>
  <c r="S119" i="14" s="1"/>
  <c r="AA119" i="14" s="1"/>
  <c r="W26" i="14"/>
  <c r="T47" i="13"/>
  <c r="U41" i="13"/>
  <c r="J38" i="9"/>
  <c r="I44" i="9"/>
  <c r="K97" i="14" l="1"/>
  <c r="E50" i="15" s="1"/>
  <c r="O98" i="14"/>
  <c r="S92" i="14"/>
  <c r="AA92" i="14" s="1"/>
  <c r="T119" i="14"/>
  <c r="AB119" i="14" s="1"/>
  <c r="W62" i="9"/>
  <c r="AB31" i="15"/>
  <c r="Q31" i="15"/>
  <c r="X62" i="9"/>
  <c r="M49" i="6"/>
  <c r="AF49" i="6" s="1"/>
  <c r="R45" i="15"/>
  <c r="AC45" i="15"/>
  <c r="AE62" i="9"/>
  <c r="K63" i="9"/>
  <c r="G63" i="9"/>
  <c r="K34" i="15" s="1"/>
  <c r="AA63" i="9"/>
  <c r="AE63" i="9" s="1"/>
  <c r="AC63" i="9"/>
  <c r="R63" i="9"/>
  <c r="Q63" i="9"/>
  <c r="S63" i="9"/>
  <c r="U63" i="9"/>
  <c r="T63" i="9"/>
  <c r="V63" i="9"/>
  <c r="O63" i="9"/>
  <c r="A46" i="15"/>
  <c r="AI96" i="14"/>
  <c r="AE97" i="14"/>
  <c r="AG97" i="14"/>
  <c r="AG98" i="14" s="1"/>
  <c r="S51" i="5"/>
  <c r="AE50" i="5"/>
  <c r="J16" i="15"/>
  <c r="J15" i="15"/>
  <c r="AB5" i="15"/>
  <c r="W52" i="5"/>
  <c r="X52" i="5"/>
  <c r="U52" i="5"/>
  <c r="V52" i="5"/>
  <c r="Y52" i="5"/>
  <c r="Z52" i="5"/>
  <c r="H52" i="5"/>
  <c r="R51" i="5"/>
  <c r="AA51" i="5"/>
  <c r="O64" i="9"/>
  <c r="N52" i="5"/>
  <c r="O52" i="5"/>
  <c r="P52" i="5"/>
  <c r="Q52" i="5"/>
  <c r="AB51" i="5"/>
  <c r="M97" i="14"/>
  <c r="Y97" i="14"/>
  <c r="Y98" i="14" s="1"/>
  <c r="Z97" i="14"/>
  <c r="Z98" i="14" s="1"/>
  <c r="X97" i="14"/>
  <c r="X98" i="14" s="1"/>
  <c r="U97" i="14"/>
  <c r="U98" i="14" s="1"/>
  <c r="V97" i="14"/>
  <c r="V98" i="14" s="1"/>
  <c r="W97" i="14"/>
  <c r="W98" i="14" s="1"/>
  <c r="E53" i="5"/>
  <c r="D53" i="5"/>
  <c r="G53" i="5" s="1"/>
  <c r="L49" i="6"/>
  <c r="AE49" i="6" s="1"/>
  <c r="A64" i="9"/>
  <c r="P64" i="9" s="1"/>
  <c r="A54" i="5"/>
  <c r="B54" i="5" s="1"/>
  <c r="W32" i="14"/>
  <c r="S120" i="14" s="1"/>
  <c r="AA120" i="14" s="1"/>
  <c r="X26" i="14"/>
  <c r="V41" i="13"/>
  <c r="U47" i="13"/>
  <c r="K38" i="9"/>
  <c r="J44" i="9"/>
  <c r="T93" i="14" l="1"/>
  <c r="AB93" i="14" s="1"/>
  <c r="T120" i="14"/>
  <c r="AB120" i="14" s="1"/>
  <c r="S93" i="14"/>
  <c r="AA93" i="14" s="1"/>
  <c r="W63" i="9"/>
  <c r="R46" i="15"/>
  <c r="AC46" i="15"/>
  <c r="G64" i="9"/>
  <c r="K35" i="15" s="1"/>
  <c r="K64" i="9"/>
  <c r="AC64" i="9"/>
  <c r="AA64" i="9"/>
  <c r="U64" i="9"/>
  <c r="T64" i="9"/>
  <c r="Q64" i="9"/>
  <c r="R64" i="9"/>
  <c r="S64" i="9"/>
  <c r="V64" i="9"/>
  <c r="X63" i="9"/>
  <c r="AE51" i="5"/>
  <c r="A47" i="15"/>
  <c r="S52" i="5"/>
  <c r="AI97" i="14"/>
  <c r="AI98" i="14" s="1"/>
  <c r="AE98" i="14"/>
  <c r="H53" i="5"/>
  <c r="J17" i="15"/>
  <c r="R52" i="5"/>
  <c r="J42" i="15"/>
  <c r="M98" i="14"/>
  <c r="C50" i="15"/>
  <c r="AD51" i="5"/>
  <c r="AB52" i="5"/>
  <c r="W53" i="5"/>
  <c r="X53" i="5"/>
  <c r="U53" i="5"/>
  <c r="V53" i="5"/>
  <c r="Y53" i="5"/>
  <c r="Z53" i="5"/>
  <c r="N53" i="5"/>
  <c r="O53" i="5"/>
  <c r="P53" i="5"/>
  <c r="Q53" i="5"/>
  <c r="AA52" i="5"/>
  <c r="K98" i="14"/>
  <c r="T94" i="14"/>
  <c r="AB94" i="14" s="1"/>
  <c r="D54" i="5"/>
  <c r="G54" i="5" s="1"/>
  <c r="E54" i="5"/>
  <c r="A65" i="9"/>
  <c r="P65" i="9" s="1"/>
  <c r="A55" i="5"/>
  <c r="B55" i="5" s="1"/>
  <c r="Y26" i="14"/>
  <c r="X32" i="14"/>
  <c r="S94" i="14" s="1"/>
  <c r="AA94" i="14" s="1"/>
  <c r="W41" i="13"/>
  <c r="V47" i="13"/>
  <c r="K44" i="9"/>
  <c r="L38" i="9"/>
  <c r="S121" i="14" l="1"/>
  <c r="AA121" i="14" s="1"/>
  <c r="T121" i="14"/>
  <c r="AB121" i="14" s="1"/>
  <c r="AE64" i="9"/>
  <c r="O65" i="9"/>
  <c r="W64" i="9"/>
  <c r="R47" i="15"/>
  <c r="AC47" i="15"/>
  <c r="X64" i="9"/>
  <c r="G65" i="9"/>
  <c r="K36" i="15" s="1"/>
  <c r="K65" i="9"/>
  <c r="AA65" i="9"/>
  <c r="AC65" i="9"/>
  <c r="S65" i="9"/>
  <c r="Q65" i="9"/>
  <c r="W65" i="9" s="1"/>
  <c r="T65" i="9"/>
  <c r="U65" i="9"/>
  <c r="R65" i="9"/>
  <c r="V65" i="9"/>
  <c r="J43" i="15"/>
  <c r="A48" i="15"/>
  <c r="AE52" i="5"/>
  <c r="H54" i="5"/>
  <c r="J44" i="15" s="1"/>
  <c r="R53" i="5"/>
  <c r="C51" i="15"/>
  <c r="AD52" i="5"/>
  <c r="Y54" i="5"/>
  <c r="Z54" i="5"/>
  <c r="W54" i="5"/>
  <c r="X54" i="5"/>
  <c r="U54" i="5"/>
  <c r="V54" i="5"/>
  <c r="AB53" i="5"/>
  <c r="J18" i="15"/>
  <c r="P66" i="9"/>
  <c r="N54" i="5"/>
  <c r="O54" i="5"/>
  <c r="P54" i="5"/>
  <c r="Q54" i="5"/>
  <c r="AA53" i="5"/>
  <c r="S122" i="14"/>
  <c r="AA122" i="14" s="1"/>
  <c r="S53" i="5"/>
  <c r="D55" i="5"/>
  <c r="G55" i="5" s="1"/>
  <c r="E55" i="5"/>
  <c r="A66" i="9"/>
  <c r="O66" i="9" s="1"/>
  <c r="A56" i="5"/>
  <c r="B56" i="5" s="1"/>
  <c r="Z26" i="14"/>
  <c r="Y32" i="14"/>
  <c r="S95" i="14" s="1"/>
  <c r="AA95" i="14" s="1"/>
  <c r="X41" i="13"/>
  <c r="W47" i="13"/>
  <c r="L44" i="9"/>
  <c r="M38" i="9"/>
  <c r="T122" i="14" l="1"/>
  <c r="AB122" i="14" s="1"/>
  <c r="T95" i="14"/>
  <c r="AB95" i="14" s="1"/>
  <c r="AE65" i="9"/>
  <c r="R48" i="15"/>
  <c r="AC48" i="15"/>
  <c r="X65" i="9"/>
  <c r="G66" i="9"/>
  <c r="K37" i="15" s="1"/>
  <c r="K66" i="9"/>
  <c r="AA66" i="9"/>
  <c r="AE66" i="9" s="1"/>
  <c r="AC66" i="9"/>
  <c r="V66" i="9"/>
  <c r="S66" i="9"/>
  <c r="T66" i="9"/>
  <c r="U66" i="9"/>
  <c r="R66" i="9"/>
  <c r="X66" i="9" s="1"/>
  <c r="Q66" i="9"/>
  <c r="W66" i="9" s="1"/>
  <c r="A49" i="15"/>
  <c r="AD53" i="5"/>
  <c r="AE53" i="5"/>
  <c r="R54" i="5"/>
  <c r="AB54" i="5"/>
  <c r="N55" i="5"/>
  <c r="O55" i="5"/>
  <c r="P55" i="5"/>
  <c r="Q55" i="5"/>
  <c r="AA54" i="5"/>
  <c r="W55" i="5"/>
  <c r="X55" i="5"/>
  <c r="U55" i="5"/>
  <c r="Y55" i="5"/>
  <c r="Z55" i="5"/>
  <c r="V55" i="5"/>
  <c r="J19" i="15"/>
  <c r="H55" i="5"/>
  <c r="S54" i="5"/>
  <c r="E56" i="5"/>
  <c r="D56" i="5"/>
  <c r="A67" i="9"/>
  <c r="P67" i="9" s="1"/>
  <c r="A57" i="5"/>
  <c r="B57" i="5" s="1"/>
  <c r="Z32" i="14"/>
  <c r="S123" i="14" s="1"/>
  <c r="AA123" i="14" s="1"/>
  <c r="AA26" i="14"/>
  <c r="AA32" i="14" s="1"/>
  <c r="X47" i="13"/>
  <c r="Y41" i="13"/>
  <c r="Y47" i="13" s="1"/>
  <c r="N38" i="9"/>
  <c r="M44" i="9"/>
  <c r="S96" i="14" l="1"/>
  <c r="AA96" i="14" s="1"/>
  <c r="T96" i="14"/>
  <c r="AB96" i="14" s="1"/>
  <c r="T123" i="14"/>
  <c r="AB123" i="14" s="1"/>
  <c r="O67" i="9"/>
  <c r="R49" i="15"/>
  <c r="AC49" i="15"/>
  <c r="G67" i="9"/>
  <c r="K38" i="15" s="1"/>
  <c r="K67" i="9"/>
  <c r="AA67" i="9"/>
  <c r="AC67" i="9"/>
  <c r="Q67" i="9"/>
  <c r="S67" i="9"/>
  <c r="T67" i="9"/>
  <c r="R67" i="9"/>
  <c r="U67" i="9"/>
  <c r="V67" i="9"/>
  <c r="AE54" i="5"/>
  <c r="A50" i="15"/>
  <c r="AD54" i="5"/>
  <c r="S55" i="5"/>
  <c r="W56" i="5"/>
  <c r="X56" i="5"/>
  <c r="U56" i="5"/>
  <c r="V56" i="5"/>
  <c r="Y56" i="5"/>
  <c r="Z56" i="5"/>
  <c r="AA55" i="5"/>
  <c r="R55" i="5"/>
  <c r="N56" i="5"/>
  <c r="O56" i="5"/>
  <c r="P56" i="5"/>
  <c r="Q56" i="5"/>
  <c r="H56" i="5"/>
  <c r="G56" i="5"/>
  <c r="S124" i="14"/>
  <c r="T124" i="14"/>
  <c r="J45" i="15"/>
  <c r="AB55" i="5"/>
  <c r="T97" i="14"/>
  <c r="S97" i="14"/>
  <c r="D57" i="5"/>
  <c r="G57" i="5" s="1"/>
  <c r="E57" i="5"/>
  <c r="A68" i="9"/>
  <c r="A58" i="5"/>
  <c r="B58" i="5" s="1"/>
  <c r="O38" i="9"/>
  <c r="N44" i="9"/>
  <c r="O68" i="9" s="1"/>
  <c r="W67" i="9" l="1"/>
  <c r="X67" i="9"/>
  <c r="R50" i="15"/>
  <c r="R51" i="15" s="1"/>
  <c r="AC50" i="15"/>
  <c r="AC51" i="15" s="1"/>
  <c r="AE67" i="9"/>
  <c r="K68" i="9"/>
  <c r="G68" i="9"/>
  <c r="K39" i="15" s="1"/>
  <c r="AA68" i="9"/>
  <c r="AC68" i="9"/>
  <c r="U68" i="9"/>
  <c r="Q68" i="9"/>
  <c r="R68" i="9"/>
  <c r="T68" i="9"/>
  <c r="S68" i="9"/>
  <c r="V68" i="9"/>
  <c r="P68" i="9"/>
  <c r="AF50" i="15"/>
  <c r="AF51" i="15" s="1"/>
  <c r="E51" i="15"/>
  <c r="AD55" i="5"/>
  <c r="AE55" i="5"/>
  <c r="J21" i="15"/>
  <c r="AB124" i="14"/>
  <c r="AB125" i="14" s="1"/>
  <c r="T125" i="14"/>
  <c r="J46" i="15"/>
  <c r="AB56" i="5"/>
  <c r="AA56" i="5"/>
  <c r="AA124" i="14"/>
  <c r="AA125" i="14" s="1"/>
  <c r="S125" i="14"/>
  <c r="S56" i="5"/>
  <c r="H57" i="5"/>
  <c r="R56" i="5"/>
  <c r="J20" i="15"/>
  <c r="Z57" i="5"/>
  <c r="V57" i="5"/>
  <c r="U57" i="5"/>
  <c r="X57" i="5"/>
  <c r="W57" i="5"/>
  <c r="Y57" i="5"/>
  <c r="N57" i="5"/>
  <c r="O57" i="5"/>
  <c r="P57" i="5"/>
  <c r="Q57" i="5"/>
  <c r="AA97" i="14"/>
  <c r="AA98" i="14" s="1"/>
  <c r="S98" i="14"/>
  <c r="AB97" i="14"/>
  <c r="AB98" i="14" s="1"/>
  <c r="T98" i="14"/>
  <c r="E58" i="5"/>
  <c r="D58" i="5"/>
  <c r="G58" i="5" s="1"/>
  <c r="A69" i="9"/>
  <c r="A59" i="5"/>
  <c r="B59" i="5" s="1"/>
  <c r="P38" i="9"/>
  <c r="O44" i="9"/>
  <c r="W68" i="9" l="1"/>
  <c r="AE68" i="9"/>
  <c r="K69" i="9"/>
  <c r="G69" i="9"/>
  <c r="K40" i="15" s="1"/>
  <c r="AA69" i="9"/>
  <c r="AC69" i="9"/>
  <c r="R69" i="9"/>
  <c r="X69" i="9" s="1"/>
  <c r="Q69" i="9"/>
  <c r="T69" i="9"/>
  <c r="U69" i="9"/>
  <c r="S69" i="9"/>
  <c r="V69" i="9"/>
  <c r="P69" i="9"/>
  <c r="X68" i="9"/>
  <c r="O69" i="9"/>
  <c r="AB57" i="5"/>
  <c r="AD56" i="5"/>
  <c r="AA57" i="5"/>
  <c r="R57" i="5"/>
  <c r="J22" i="15"/>
  <c r="J47" i="15"/>
  <c r="O58" i="5"/>
  <c r="P58" i="5"/>
  <c r="Q58" i="5"/>
  <c r="N58" i="5"/>
  <c r="X58" i="5"/>
  <c r="Y58" i="5"/>
  <c r="Z58" i="5"/>
  <c r="V58" i="5"/>
  <c r="U58" i="5"/>
  <c r="W58" i="5"/>
  <c r="S57" i="5"/>
  <c r="H58" i="5"/>
  <c r="AE56" i="5"/>
  <c r="E59" i="5"/>
  <c r="D59" i="5"/>
  <c r="H59" i="5" s="1"/>
  <c r="A70" i="9"/>
  <c r="O70" i="9" s="1"/>
  <c r="A60" i="5"/>
  <c r="B60" i="5" s="1"/>
  <c r="Q38" i="9"/>
  <c r="P44" i="9"/>
  <c r="W69" i="9" l="1"/>
  <c r="P70" i="9"/>
  <c r="AE69" i="9"/>
  <c r="G70" i="9"/>
  <c r="K41" i="15" s="1"/>
  <c r="K70" i="9"/>
  <c r="AA70" i="9"/>
  <c r="AE70" i="9" s="1"/>
  <c r="AC70" i="9"/>
  <c r="U70" i="9"/>
  <c r="R70" i="9"/>
  <c r="T70" i="9"/>
  <c r="Q70" i="9"/>
  <c r="S70" i="9"/>
  <c r="V70" i="9"/>
  <c r="AD57" i="5"/>
  <c r="S58" i="5"/>
  <c r="AA58" i="5"/>
  <c r="AB58" i="5"/>
  <c r="AE57" i="5"/>
  <c r="J49" i="15"/>
  <c r="G59" i="5"/>
  <c r="X59" i="5"/>
  <c r="Y59" i="5"/>
  <c r="Z59" i="5"/>
  <c r="V59" i="5"/>
  <c r="W59" i="5"/>
  <c r="U59" i="5"/>
  <c r="J48" i="15"/>
  <c r="R58" i="5"/>
  <c r="O59" i="5"/>
  <c r="P59" i="5"/>
  <c r="Q59" i="5"/>
  <c r="N59" i="5"/>
  <c r="E60" i="5"/>
  <c r="C61" i="5"/>
  <c r="D60" i="5"/>
  <c r="H60" i="5" s="1"/>
  <c r="B61" i="5"/>
  <c r="A71" i="9"/>
  <c r="P71" i="9" s="1"/>
  <c r="R38" i="9"/>
  <c r="Q44" i="9"/>
  <c r="W70" i="9" l="1"/>
  <c r="O71" i="9"/>
  <c r="X70" i="9"/>
  <c r="AE58" i="5"/>
  <c r="K71" i="9"/>
  <c r="G71" i="9"/>
  <c r="K42" i="15" s="1"/>
  <c r="AA71" i="9"/>
  <c r="AC71" i="9"/>
  <c r="T71" i="9"/>
  <c r="R71" i="9"/>
  <c r="U71" i="9"/>
  <c r="Q71" i="9"/>
  <c r="V71" i="9"/>
  <c r="S71" i="9"/>
  <c r="AD58" i="5"/>
  <c r="S59" i="5"/>
  <c r="J50" i="15"/>
  <c r="J51" i="15" s="1"/>
  <c r="H61" i="5"/>
  <c r="Z60" i="5"/>
  <c r="Z61" i="5" s="1"/>
  <c r="V60" i="5"/>
  <c r="U60" i="5"/>
  <c r="X60" i="5"/>
  <c r="X61" i="5" s="1"/>
  <c r="W60" i="5"/>
  <c r="W61" i="5" s="1"/>
  <c r="Y60" i="5"/>
  <c r="Y61" i="5" s="1"/>
  <c r="J23" i="15"/>
  <c r="AA59" i="5"/>
  <c r="G60" i="5"/>
  <c r="R59" i="5"/>
  <c r="O60" i="5"/>
  <c r="P60" i="5"/>
  <c r="P61" i="5" s="1"/>
  <c r="Q60" i="5"/>
  <c r="Q61" i="5" s="1"/>
  <c r="N60" i="5"/>
  <c r="AB59" i="5"/>
  <c r="D61" i="5"/>
  <c r="E61" i="5"/>
  <c r="A72" i="9"/>
  <c r="S38" i="9"/>
  <c r="R44" i="9"/>
  <c r="AE59" i="5" l="1"/>
  <c r="W71" i="9"/>
  <c r="X71" i="9"/>
  <c r="O72" i="9"/>
  <c r="P72" i="9"/>
  <c r="AE71" i="9"/>
  <c r="G72" i="9"/>
  <c r="K43" i="15" s="1"/>
  <c r="K72" i="9"/>
  <c r="AC72" i="9"/>
  <c r="AA72" i="9"/>
  <c r="V72" i="9"/>
  <c r="Q72" i="9"/>
  <c r="S72" i="9"/>
  <c r="R72" i="9"/>
  <c r="T72" i="9"/>
  <c r="U72" i="9"/>
  <c r="AB60" i="5"/>
  <c r="AB61" i="5" s="1"/>
  <c r="V61" i="5"/>
  <c r="AA60" i="5"/>
  <c r="AA61" i="5" s="1"/>
  <c r="U61" i="5"/>
  <c r="J24" i="15"/>
  <c r="J25" i="15" s="1"/>
  <c r="G61" i="5"/>
  <c r="R60" i="5"/>
  <c r="R61" i="5" s="1"/>
  <c r="N61" i="5"/>
  <c r="AD59" i="5"/>
  <c r="S60" i="5"/>
  <c r="S61" i="5" s="1"/>
  <c r="O61" i="5"/>
  <c r="A73" i="9"/>
  <c r="O73" i="9" s="1"/>
  <c r="L61" i="5"/>
  <c r="T38" i="9"/>
  <c r="S44" i="9"/>
  <c r="P73" i="9" s="1"/>
  <c r="W72" i="9" l="1"/>
  <c r="AE72" i="9"/>
  <c r="X72" i="9"/>
  <c r="G73" i="9"/>
  <c r="K44" i="15" s="1"/>
  <c r="K73" i="9"/>
  <c r="AA73" i="9"/>
  <c r="AC73" i="9"/>
  <c r="R73" i="9"/>
  <c r="X73" i="9" s="1"/>
  <c r="U73" i="9"/>
  <c r="S73" i="9"/>
  <c r="V73" i="9"/>
  <c r="Q73" i="9"/>
  <c r="W73" i="9" s="1"/>
  <c r="T73" i="9"/>
  <c r="AD60" i="5"/>
  <c r="AD61" i="5" s="1"/>
  <c r="K61" i="5"/>
  <c r="P74" i="9"/>
  <c r="AE60" i="5"/>
  <c r="AE61" i="5" s="1"/>
  <c r="A74" i="9"/>
  <c r="U38" i="9"/>
  <c r="T44" i="9"/>
  <c r="AE73" i="9" l="1"/>
  <c r="G74" i="9"/>
  <c r="K45" i="15" s="1"/>
  <c r="K74" i="9"/>
  <c r="AA74" i="9"/>
  <c r="AC74" i="9"/>
  <c r="S74" i="9"/>
  <c r="T74" i="9"/>
  <c r="V74" i="9"/>
  <c r="U74" i="9"/>
  <c r="Q74" i="9"/>
  <c r="R74" i="9"/>
  <c r="O74" i="9"/>
  <c r="A75" i="9"/>
  <c r="O75" i="9" s="1"/>
  <c r="V38" i="9"/>
  <c r="U44" i="9"/>
  <c r="X74" i="9" l="1"/>
  <c r="AE74" i="9"/>
  <c r="G75" i="9"/>
  <c r="K46" i="15" s="1"/>
  <c r="K75" i="9"/>
  <c r="AC75" i="9"/>
  <c r="AA75" i="9"/>
  <c r="AE75" i="9" s="1"/>
  <c r="S75" i="9"/>
  <c r="T75" i="9"/>
  <c r="U75" i="9"/>
  <c r="V75" i="9"/>
  <c r="R75" i="9"/>
  <c r="Q75" i="9"/>
  <c r="W75" i="9" s="1"/>
  <c r="W74" i="9"/>
  <c r="P75" i="9"/>
  <c r="O76" i="9"/>
  <c r="P76" i="9"/>
  <c r="A76" i="9"/>
  <c r="W38" i="9"/>
  <c r="V44" i="9"/>
  <c r="X75" i="9" l="1"/>
  <c r="K76" i="9"/>
  <c r="G76" i="9"/>
  <c r="K47" i="15" s="1"/>
  <c r="AA76" i="9"/>
  <c r="AC76" i="9"/>
  <c r="U76" i="9"/>
  <c r="Q76" i="9"/>
  <c r="V76" i="9"/>
  <c r="T76" i="9"/>
  <c r="R76" i="9"/>
  <c r="X76" i="9" s="1"/>
  <c r="S76" i="9"/>
  <c r="A77" i="9"/>
  <c r="W44" i="9"/>
  <c r="X38" i="9"/>
  <c r="W76" i="9" l="1"/>
  <c r="K77" i="9"/>
  <c r="G77" i="9"/>
  <c r="K48" i="15" s="1"/>
  <c r="AA77" i="9"/>
  <c r="AC77" i="9"/>
  <c r="Q77" i="9"/>
  <c r="R77" i="9"/>
  <c r="V77" i="9"/>
  <c r="S77" i="9"/>
  <c r="U77" i="9"/>
  <c r="T77" i="9"/>
  <c r="O77" i="9"/>
  <c r="W77" i="9" s="1"/>
  <c r="P77" i="9"/>
  <c r="AE76" i="9"/>
  <c r="A78" i="9"/>
  <c r="P78" i="9" s="1"/>
  <c r="X44" i="9"/>
  <c r="Y38" i="9"/>
  <c r="Y44" i="9" s="1"/>
  <c r="O78" i="9" l="1"/>
  <c r="X77" i="9"/>
  <c r="AE77" i="9"/>
  <c r="G78" i="9"/>
  <c r="K49" i="15" s="1"/>
  <c r="K78" i="9"/>
  <c r="AC78" i="9"/>
  <c r="AA78" i="9"/>
  <c r="Q78" i="9"/>
  <c r="U78" i="9"/>
  <c r="R78" i="9"/>
  <c r="T78" i="9"/>
  <c r="V78" i="9"/>
  <c r="S78" i="9"/>
  <c r="A79" i="9"/>
  <c r="AE78" i="9" l="1"/>
  <c r="X78" i="9"/>
  <c r="K79" i="9"/>
  <c r="K80" i="9" s="1"/>
  <c r="G79" i="9"/>
  <c r="K50" i="15" s="1"/>
  <c r="AC79" i="9"/>
  <c r="AC80" i="9" s="1"/>
  <c r="AA79" i="9"/>
  <c r="U79" i="9"/>
  <c r="U80" i="9" s="1"/>
  <c r="T79" i="9"/>
  <c r="T80" i="9" s="1"/>
  <c r="V79" i="9"/>
  <c r="V80" i="9" s="1"/>
  <c r="R79" i="9"/>
  <c r="R80" i="9" s="1"/>
  <c r="Q79" i="9"/>
  <c r="Q80" i="9" s="1"/>
  <c r="S79" i="9"/>
  <c r="S80" i="9" s="1"/>
  <c r="O79" i="9"/>
  <c r="W79" i="9" s="1"/>
  <c r="P79" i="9"/>
  <c r="W78" i="9"/>
  <c r="P80" i="9"/>
  <c r="A9" i="7"/>
  <c r="D9" i="7" s="1"/>
  <c r="X79" i="9" l="1"/>
  <c r="O80" i="9"/>
  <c r="AE79" i="9"/>
  <c r="AA80" i="9"/>
  <c r="W80" i="9"/>
  <c r="A10" i="7"/>
  <c r="B7" i="4"/>
  <c r="G109" i="14" l="1"/>
  <c r="Q109" i="14" s="1"/>
  <c r="AL109" i="14" s="1"/>
  <c r="G122" i="14"/>
  <c r="Q122" i="14" s="1"/>
  <c r="AL122" i="14" s="1"/>
  <c r="F111" i="14"/>
  <c r="P111" i="14" s="1"/>
  <c r="AK111" i="14" s="1"/>
  <c r="F106" i="14"/>
  <c r="P106" i="14" s="1"/>
  <c r="AK106" i="14" s="1"/>
  <c r="F123" i="14"/>
  <c r="P123" i="14" s="1"/>
  <c r="AK123" i="14" s="1"/>
  <c r="F90" i="14"/>
  <c r="F95" i="14"/>
  <c r="F80" i="14"/>
  <c r="F97" i="14"/>
  <c r="G78" i="14"/>
  <c r="G124" i="14"/>
  <c r="Q124" i="14" s="1"/>
  <c r="AL124" i="14" s="1"/>
  <c r="F78" i="14"/>
  <c r="G114" i="14"/>
  <c r="Q114" i="14" s="1"/>
  <c r="AL114" i="14" s="1"/>
  <c r="F112" i="14"/>
  <c r="P112" i="14" s="1"/>
  <c r="AK112" i="14" s="1"/>
  <c r="G116" i="14"/>
  <c r="Q116" i="14" s="1"/>
  <c r="AL116" i="14" s="1"/>
  <c r="G111" i="14"/>
  <c r="F109" i="14"/>
  <c r="P109" i="14" s="1"/>
  <c r="AK109" i="14" s="1"/>
  <c r="G80" i="14"/>
  <c r="G107" i="14"/>
  <c r="Q107" i="14" s="1"/>
  <c r="AL107" i="14" s="1"/>
  <c r="G84" i="14"/>
  <c r="F121" i="14"/>
  <c r="P121" i="14" s="1"/>
  <c r="AK121" i="14" s="1"/>
  <c r="F92" i="14"/>
  <c r="G118" i="14"/>
  <c r="Q118" i="14" s="1"/>
  <c r="AL118" i="14" s="1"/>
  <c r="F116" i="14"/>
  <c r="P116" i="14" s="1"/>
  <c r="AK116" i="14" s="1"/>
  <c r="F118" i="14"/>
  <c r="P118" i="14" s="1"/>
  <c r="AK118" i="14" s="1"/>
  <c r="F119" i="14"/>
  <c r="P119" i="14" s="1"/>
  <c r="AK119" i="14" s="1"/>
  <c r="F110" i="14"/>
  <c r="P110" i="14" s="1"/>
  <c r="AK110" i="14" s="1"/>
  <c r="F81" i="14"/>
  <c r="F86" i="14"/>
  <c r="G82" i="14"/>
  <c r="F83" i="14"/>
  <c r="F122" i="14"/>
  <c r="P122" i="14" s="1"/>
  <c r="AK122" i="14" s="1"/>
  <c r="G108" i="14"/>
  <c r="Q108" i="14" s="1"/>
  <c r="AL108" i="14" s="1"/>
  <c r="G119" i="14"/>
  <c r="Q119" i="14" s="1"/>
  <c r="AL119" i="14" s="1"/>
  <c r="G120" i="14"/>
  <c r="Q120" i="14" s="1"/>
  <c r="AL120" i="14" s="1"/>
  <c r="F84" i="14"/>
  <c r="F85" i="14"/>
  <c r="G112" i="14"/>
  <c r="Q112" i="14" s="1"/>
  <c r="AL112" i="14" s="1"/>
  <c r="F79" i="14"/>
  <c r="F113" i="14"/>
  <c r="P113" i="14" s="1"/>
  <c r="AK113" i="14" s="1"/>
  <c r="G105" i="14"/>
  <c r="G83" i="14"/>
  <c r="F105" i="14"/>
  <c r="F115" i="14"/>
  <c r="P115" i="14" s="1"/>
  <c r="AK115" i="14" s="1"/>
  <c r="F107" i="14"/>
  <c r="P107" i="14" s="1"/>
  <c r="AK107" i="14" s="1"/>
  <c r="F114" i="14"/>
  <c r="P114" i="14" s="1"/>
  <c r="AK114" i="14" s="1"/>
  <c r="F89" i="14"/>
  <c r="F93" i="14"/>
  <c r="F108" i="14"/>
  <c r="P108" i="14" s="1"/>
  <c r="AK108" i="14" s="1"/>
  <c r="G113" i="14"/>
  <c r="Q113" i="14" s="1"/>
  <c r="AL113" i="14" s="1"/>
  <c r="G123" i="14"/>
  <c r="Q123" i="14" s="1"/>
  <c r="AL123" i="14" s="1"/>
  <c r="G115" i="14"/>
  <c r="Q115" i="14" s="1"/>
  <c r="AL115" i="14" s="1"/>
  <c r="F94" i="14"/>
  <c r="F88" i="14"/>
  <c r="G79" i="14"/>
  <c r="G121" i="14"/>
  <c r="Q121" i="14" s="1"/>
  <c r="AL121" i="14" s="1"/>
  <c r="G110" i="14"/>
  <c r="Q110" i="14" s="1"/>
  <c r="AL110" i="14" s="1"/>
  <c r="F82" i="14"/>
  <c r="F91" i="14"/>
  <c r="F120" i="14"/>
  <c r="P120" i="14" s="1"/>
  <c r="AK120" i="14" s="1"/>
  <c r="F87" i="14"/>
  <c r="F96" i="14"/>
  <c r="G117" i="14"/>
  <c r="Q117" i="14" s="1"/>
  <c r="AL117" i="14" s="1"/>
  <c r="G81" i="14"/>
  <c r="F117" i="14"/>
  <c r="P117" i="14" s="1"/>
  <c r="AK117" i="14" s="1"/>
  <c r="F124" i="14"/>
  <c r="P124" i="14" s="1"/>
  <c r="AK124" i="14" s="1"/>
  <c r="G106" i="14"/>
  <c r="Q106" i="14" s="1"/>
  <c r="AL106" i="14" s="1"/>
  <c r="G85" i="14"/>
  <c r="G86" i="14"/>
  <c r="G87" i="14"/>
  <c r="G88" i="14"/>
  <c r="G89" i="14"/>
  <c r="G90" i="14"/>
  <c r="G91" i="14"/>
  <c r="G92" i="14"/>
  <c r="G93" i="14"/>
  <c r="G94" i="14"/>
  <c r="G95" i="14"/>
  <c r="G96" i="14"/>
  <c r="G97" i="14"/>
  <c r="C90" i="14"/>
  <c r="C93" i="14"/>
  <c r="C89" i="14"/>
  <c r="C84" i="14"/>
  <c r="C97" i="14"/>
  <c r="C85" i="14"/>
  <c r="C86" i="14"/>
  <c r="C91" i="14"/>
  <c r="C95" i="14"/>
  <c r="C80" i="14"/>
  <c r="C81" i="14"/>
  <c r="C96" i="14"/>
  <c r="C82" i="14"/>
  <c r="C83" i="14"/>
  <c r="C92" i="14"/>
  <c r="C87" i="14"/>
  <c r="C88" i="14"/>
  <c r="C94" i="14"/>
  <c r="C79" i="14"/>
  <c r="C78" i="14"/>
  <c r="H78" i="14" s="1"/>
  <c r="C60" i="9"/>
  <c r="A25" i="6"/>
  <c r="A11" i="7"/>
  <c r="C62" i="9"/>
  <c r="C74" i="9"/>
  <c r="C63" i="9"/>
  <c r="C75" i="9"/>
  <c r="C77" i="9"/>
  <c r="C64" i="9"/>
  <c r="C76" i="9"/>
  <c r="C65" i="9"/>
  <c r="C79" i="9"/>
  <c r="C69" i="9"/>
  <c r="C70" i="9"/>
  <c r="C72" i="9"/>
  <c r="C73" i="9"/>
  <c r="C71" i="9"/>
  <c r="C78" i="9"/>
  <c r="C67" i="9"/>
  <c r="C61" i="9"/>
  <c r="C66" i="9"/>
  <c r="C68" i="9"/>
  <c r="D40" i="15" l="1"/>
  <c r="G40" i="15" s="1"/>
  <c r="D21" i="15"/>
  <c r="G21" i="15" s="1"/>
  <c r="P78" i="14"/>
  <c r="D42" i="15"/>
  <c r="G42" i="15" s="1"/>
  <c r="D48" i="15"/>
  <c r="G48" i="15" s="1"/>
  <c r="D23" i="15"/>
  <c r="G23" i="15" s="1"/>
  <c r="D11" i="15"/>
  <c r="G11" i="15" s="1"/>
  <c r="D9" i="15"/>
  <c r="G9" i="15" s="1"/>
  <c r="Q111" i="14"/>
  <c r="AL111" i="14" s="1"/>
  <c r="D31" i="15"/>
  <c r="G31" i="15" s="1"/>
  <c r="D46" i="15"/>
  <c r="G46" i="15" s="1"/>
  <c r="D49" i="15"/>
  <c r="G49" i="15" s="1"/>
  <c r="D35" i="15"/>
  <c r="G35" i="15" s="1"/>
  <c r="D34" i="15"/>
  <c r="G34" i="15" s="1"/>
  <c r="D18" i="15"/>
  <c r="G18" i="15" s="1"/>
  <c r="D15" i="15"/>
  <c r="G15" i="15" s="1"/>
  <c r="D19" i="15"/>
  <c r="G19" i="15" s="1"/>
  <c r="D44" i="15"/>
  <c r="G44" i="15" s="1"/>
  <c r="D33" i="15"/>
  <c r="G33" i="15" s="1"/>
  <c r="D8" i="15"/>
  <c r="G8" i="15" s="1"/>
  <c r="D16" i="15"/>
  <c r="G16" i="15" s="1"/>
  <c r="D17" i="15"/>
  <c r="G17" i="15" s="1"/>
  <c r="D47" i="15"/>
  <c r="G47" i="15" s="1"/>
  <c r="D13" i="15"/>
  <c r="G13" i="15" s="1"/>
  <c r="D37" i="15"/>
  <c r="G37" i="15" s="1"/>
  <c r="D36" i="15"/>
  <c r="G36" i="15" s="1"/>
  <c r="V47" i="15"/>
  <c r="L76" i="9"/>
  <c r="AG76" i="9" s="1"/>
  <c r="V50" i="15"/>
  <c r="V33" i="15"/>
  <c r="G98" i="14"/>
  <c r="D50" i="15"/>
  <c r="G50" i="15" s="1"/>
  <c r="D20" i="15"/>
  <c r="G20" i="15" s="1"/>
  <c r="D7" i="15"/>
  <c r="G7" i="15" s="1"/>
  <c r="V49" i="15"/>
  <c r="V44" i="15"/>
  <c r="L63" i="9"/>
  <c r="AG63" i="9" s="1"/>
  <c r="M63" i="9"/>
  <c r="AH63" i="9" s="1"/>
  <c r="M67" i="9"/>
  <c r="AH67" i="9" s="1"/>
  <c r="V36" i="15"/>
  <c r="D41" i="15"/>
  <c r="G41" i="15" s="1"/>
  <c r="D32" i="15"/>
  <c r="G32" i="15" s="1"/>
  <c r="D6" i="15"/>
  <c r="G6" i="15" s="1"/>
  <c r="D10" i="15"/>
  <c r="G10" i="15" s="1"/>
  <c r="D22" i="15"/>
  <c r="G22" i="15" s="1"/>
  <c r="G80" i="9"/>
  <c r="F80" i="9"/>
  <c r="V21" i="15"/>
  <c r="L71" i="9"/>
  <c r="AG71" i="9" s="1"/>
  <c r="M71" i="9"/>
  <c r="AH71" i="9" s="1"/>
  <c r="V35" i="15"/>
  <c r="D39" i="15"/>
  <c r="G39" i="15" s="1"/>
  <c r="D14" i="15"/>
  <c r="G14" i="15" s="1"/>
  <c r="D12" i="15"/>
  <c r="G12" i="15" s="1"/>
  <c r="V8" i="15"/>
  <c r="D38" i="15"/>
  <c r="G38" i="15" s="1"/>
  <c r="D5" i="15"/>
  <c r="G5" i="15" s="1"/>
  <c r="F98" i="14"/>
  <c r="M72" i="9"/>
  <c r="AH72" i="9" s="1"/>
  <c r="M75" i="9"/>
  <c r="AH75" i="9" s="1"/>
  <c r="D45" i="15"/>
  <c r="G45" i="15" s="1"/>
  <c r="P105" i="14"/>
  <c r="F125" i="14"/>
  <c r="V34" i="15"/>
  <c r="M77" i="9"/>
  <c r="AH77" i="9" s="1"/>
  <c r="V39" i="15"/>
  <c r="V16" i="15"/>
  <c r="V41" i="15"/>
  <c r="M66" i="9"/>
  <c r="AH66" i="9" s="1"/>
  <c r="M69" i="9"/>
  <c r="AH69" i="9" s="1"/>
  <c r="M74" i="9"/>
  <c r="AH74" i="9" s="1"/>
  <c r="D43" i="15"/>
  <c r="G43" i="15" s="1"/>
  <c r="G125" i="14"/>
  <c r="Q105" i="14"/>
  <c r="AL105" i="14" s="1"/>
  <c r="D24" i="15"/>
  <c r="G24" i="15" s="1"/>
  <c r="V32" i="15"/>
  <c r="M61" i="9"/>
  <c r="AH61" i="9" s="1"/>
  <c r="I78" i="14"/>
  <c r="Q78" i="14" s="1"/>
  <c r="H96" i="14"/>
  <c r="I96" i="14"/>
  <c r="Q96" i="14" s="1"/>
  <c r="H91" i="14"/>
  <c r="P91" i="14" s="1"/>
  <c r="I91" i="14"/>
  <c r="Q91" i="14" s="1"/>
  <c r="H88" i="14"/>
  <c r="P88" i="14" s="1"/>
  <c r="I88" i="14"/>
  <c r="Q88" i="14" s="1"/>
  <c r="H80" i="14"/>
  <c r="I80" i="14"/>
  <c r="H79" i="14"/>
  <c r="P79" i="14" s="1"/>
  <c r="I79" i="14"/>
  <c r="Q79" i="14" s="1"/>
  <c r="I85" i="14"/>
  <c r="H85" i="14"/>
  <c r="P85" i="14" s="1"/>
  <c r="I87" i="14"/>
  <c r="Q87" i="14" s="1"/>
  <c r="H87" i="14"/>
  <c r="H93" i="14"/>
  <c r="P93" i="14" s="1"/>
  <c r="I93" i="14"/>
  <c r="Q93" i="14" s="1"/>
  <c r="I81" i="14"/>
  <c r="Q81" i="14" s="1"/>
  <c r="H81" i="14"/>
  <c r="P81" i="14" s="1"/>
  <c r="H95" i="14"/>
  <c r="I95" i="14"/>
  <c r="Q95" i="14" s="1"/>
  <c r="H86" i="14"/>
  <c r="P86" i="14" s="1"/>
  <c r="I86" i="14"/>
  <c r="H94" i="14"/>
  <c r="P94" i="14" s="1"/>
  <c r="I94" i="14"/>
  <c r="I97" i="14"/>
  <c r="H97" i="14"/>
  <c r="P97" i="14" s="1"/>
  <c r="H84" i="14"/>
  <c r="I84" i="14"/>
  <c r="Q84" i="14" s="1"/>
  <c r="H92" i="14"/>
  <c r="P92" i="14" s="1"/>
  <c r="I92" i="14"/>
  <c r="Q92" i="14" s="1"/>
  <c r="H89" i="14"/>
  <c r="I89" i="14"/>
  <c r="Q89" i="14" s="1"/>
  <c r="H83" i="14"/>
  <c r="P83" i="14" s="1"/>
  <c r="I83" i="14"/>
  <c r="H82" i="14"/>
  <c r="I82" i="14"/>
  <c r="Q82" i="14" s="1"/>
  <c r="H90" i="14"/>
  <c r="P90" i="14" s="1"/>
  <c r="I90" i="14"/>
  <c r="Q90" i="14" s="1"/>
  <c r="C25" i="6"/>
  <c r="C98" i="14"/>
  <c r="A26" i="6"/>
  <c r="A12" i="7"/>
  <c r="C80" i="9"/>
  <c r="AI38" i="15" l="1"/>
  <c r="AI50" i="15"/>
  <c r="AI34" i="15"/>
  <c r="AI43" i="15"/>
  <c r="AI47" i="15"/>
  <c r="AI39" i="15"/>
  <c r="AI49" i="15"/>
  <c r="AI42" i="15"/>
  <c r="AI33" i="15"/>
  <c r="AI46" i="15"/>
  <c r="AI45" i="15"/>
  <c r="AI35" i="15"/>
  <c r="AI32" i="15"/>
  <c r="AI36" i="15"/>
  <c r="AI44" i="15"/>
  <c r="AI48" i="15"/>
  <c r="AI41" i="15"/>
  <c r="AI37" i="15"/>
  <c r="AI40" i="15"/>
  <c r="P82" i="14"/>
  <c r="AK82" i="14" s="1"/>
  <c r="AL96" i="14"/>
  <c r="AL93" i="14"/>
  <c r="AK91" i="14"/>
  <c r="AK97" i="14"/>
  <c r="AL89" i="14"/>
  <c r="AK94" i="14"/>
  <c r="AK93" i="14"/>
  <c r="AL92" i="14"/>
  <c r="AL88" i="14"/>
  <c r="P87" i="14"/>
  <c r="AK87" i="14" s="1"/>
  <c r="AL79" i="14"/>
  <c r="AK83" i="14"/>
  <c r="AL90" i="14"/>
  <c r="AK90" i="14"/>
  <c r="AK92" i="14"/>
  <c r="AK86" i="14"/>
  <c r="AL87" i="14"/>
  <c r="AK88" i="14"/>
  <c r="P96" i="14"/>
  <c r="AK96" i="14" s="1"/>
  <c r="Q80" i="14"/>
  <c r="AL80" i="14" s="1"/>
  <c r="P84" i="14"/>
  <c r="AK84" i="14" s="1"/>
  <c r="Q86" i="14"/>
  <c r="AL86" i="14" s="1"/>
  <c r="P80" i="14"/>
  <c r="AK80" i="14" s="1"/>
  <c r="P95" i="14"/>
  <c r="AK95" i="14" s="1"/>
  <c r="AK81" i="14"/>
  <c r="AL81" i="14"/>
  <c r="AK79" i="14"/>
  <c r="AL82" i="14"/>
  <c r="AL84" i="14"/>
  <c r="AL95" i="14"/>
  <c r="AK85" i="14"/>
  <c r="AL91" i="14"/>
  <c r="Q83" i="14"/>
  <c r="AL83" i="14" s="1"/>
  <c r="P89" i="14"/>
  <c r="AK89" i="14" s="1"/>
  <c r="Q85" i="14"/>
  <c r="AL85" i="14" s="1"/>
  <c r="Q94" i="14"/>
  <c r="AL94" i="14" s="1"/>
  <c r="Q97" i="14"/>
  <c r="AL97" i="14" s="1"/>
  <c r="AL125" i="14"/>
  <c r="V7" i="15"/>
  <c r="L62" i="9"/>
  <c r="AG62" i="9" s="1"/>
  <c r="V18" i="15"/>
  <c r="L73" i="9"/>
  <c r="AG73" i="9" s="1"/>
  <c r="M32" i="15"/>
  <c r="M6" i="15"/>
  <c r="V13" i="15"/>
  <c r="L68" i="9"/>
  <c r="AG68" i="9" s="1"/>
  <c r="V20" i="15"/>
  <c r="L75" i="9"/>
  <c r="AG75" i="9" s="1"/>
  <c r="V10" i="15"/>
  <c r="L65" i="9"/>
  <c r="AG65" i="9" s="1"/>
  <c r="V23" i="15"/>
  <c r="L78" i="9"/>
  <c r="AG78" i="9" s="1"/>
  <c r="V24" i="15"/>
  <c r="L79" i="9"/>
  <c r="AG79" i="9" s="1"/>
  <c r="V14" i="15"/>
  <c r="L69" i="9"/>
  <c r="AG69" i="9" s="1"/>
  <c r="V17" i="15"/>
  <c r="L72" i="9"/>
  <c r="AG72" i="9" s="1"/>
  <c r="V22" i="15"/>
  <c r="L77" i="9"/>
  <c r="AG77" i="9" s="1"/>
  <c r="M60" i="9"/>
  <c r="AH60" i="9" s="1"/>
  <c r="M31" i="15"/>
  <c r="X31" i="15"/>
  <c r="V12" i="15"/>
  <c r="L67" i="9"/>
  <c r="AG67" i="9" s="1"/>
  <c r="V6" i="15"/>
  <c r="L61" i="9"/>
  <c r="AG61" i="9" s="1"/>
  <c r="V11" i="15"/>
  <c r="L66" i="9"/>
  <c r="AG66" i="9" s="1"/>
  <c r="L60" i="9"/>
  <c r="X5" i="15"/>
  <c r="V19" i="15"/>
  <c r="L74" i="9"/>
  <c r="AG74" i="9" s="1"/>
  <c r="V15" i="15"/>
  <c r="L70" i="9"/>
  <c r="AG70" i="9" s="1"/>
  <c r="V9" i="15"/>
  <c r="L64" i="9"/>
  <c r="AG64" i="9" s="1"/>
  <c r="G51" i="15"/>
  <c r="D51" i="15"/>
  <c r="M73" i="9"/>
  <c r="AH73" i="9" s="1"/>
  <c r="M79" i="9"/>
  <c r="AH79" i="9" s="1"/>
  <c r="V43" i="15"/>
  <c r="M64" i="9"/>
  <c r="AH64" i="9" s="1"/>
  <c r="V46" i="15"/>
  <c r="V45" i="15"/>
  <c r="M65" i="9"/>
  <c r="AH65" i="9" s="1"/>
  <c r="V42" i="15"/>
  <c r="M62" i="9"/>
  <c r="AH62" i="9" s="1"/>
  <c r="M78" i="9"/>
  <c r="AH78" i="9" s="1"/>
  <c r="V48" i="15"/>
  <c r="M76" i="9"/>
  <c r="AH76" i="9" s="1"/>
  <c r="V37" i="15"/>
  <c r="I80" i="9"/>
  <c r="V40" i="15"/>
  <c r="M68" i="9"/>
  <c r="AH68" i="9" s="1"/>
  <c r="H80" i="9"/>
  <c r="AK105" i="14"/>
  <c r="AK125" i="14" s="1"/>
  <c r="P125" i="14"/>
  <c r="D25" i="15"/>
  <c r="M70" i="9"/>
  <c r="AH70" i="9" s="1"/>
  <c r="V38" i="15"/>
  <c r="L5" i="15"/>
  <c r="V5" i="15"/>
  <c r="K25" i="15"/>
  <c r="H98" i="14"/>
  <c r="I98" i="14"/>
  <c r="D25" i="6"/>
  <c r="C50" i="6"/>
  <c r="D50" i="6"/>
  <c r="A27" i="6"/>
  <c r="A13" i="7"/>
  <c r="P98" i="14" l="1"/>
  <c r="S5" i="15"/>
  <c r="AH5" i="15" s="1"/>
  <c r="L80" i="9"/>
  <c r="AG60" i="9"/>
  <c r="AG80" i="9" s="1"/>
  <c r="X6" i="15"/>
  <c r="X32" i="15"/>
  <c r="V25" i="6"/>
  <c r="W25" i="6"/>
  <c r="X25" i="6"/>
  <c r="Y25" i="6"/>
  <c r="Z25" i="6"/>
  <c r="AA25" i="6"/>
  <c r="W5" i="15"/>
  <c r="AD5" i="15" s="1"/>
  <c r="AI5" i="15" s="1"/>
  <c r="V25" i="15"/>
  <c r="K51" i="15"/>
  <c r="AA50" i="6"/>
  <c r="O50" i="6"/>
  <c r="P50" i="6"/>
  <c r="W50" i="6"/>
  <c r="Q50" i="6"/>
  <c r="V50" i="6"/>
  <c r="R50" i="6"/>
  <c r="Y50" i="6"/>
  <c r="Z50" i="6"/>
  <c r="X50" i="6"/>
  <c r="V31" i="15"/>
  <c r="L31" i="15"/>
  <c r="S31" i="15" s="1"/>
  <c r="AH31" i="15" s="1"/>
  <c r="AK78" i="14"/>
  <c r="AK98" i="14" s="1"/>
  <c r="O25" i="6"/>
  <c r="R25" i="6"/>
  <c r="P25" i="6"/>
  <c r="Q25" i="6"/>
  <c r="F25" i="6"/>
  <c r="I6" i="15" s="1"/>
  <c r="G25" i="6"/>
  <c r="I32" i="15" s="1"/>
  <c r="J25" i="6"/>
  <c r="N6" i="15" s="1"/>
  <c r="K25" i="6"/>
  <c r="N32" i="15" s="1"/>
  <c r="M24" i="6"/>
  <c r="F50" i="6"/>
  <c r="U6" i="15" s="1"/>
  <c r="J50" i="6"/>
  <c r="Y6" i="15" s="1"/>
  <c r="G50" i="6"/>
  <c r="U32" i="15" s="1"/>
  <c r="K50" i="6"/>
  <c r="Y32" i="15" s="1"/>
  <c r="L24" i="6"/>
  <c r="AE24" i="6" s="1"/>
  <c r="D26" i="6"/>
  <c r="C26" i="6"/>
  <c r="D51" i="6"/>
  <c r="C51" i="6"/>
  <c r="A28" i="6"/>
  <c r="A14" i="7"/>
  <c r="AC50" i="6" l="1"/>
  <c r="AA32" i="15" s="1"/>
  <c r="X7" i="15"/>
  <c r="X33" i="15"/>
  <c r="M33" i="15"/>
  <c r="M7" i="15"/>
  <c r="W32" i="15"/>
  <c r="V26" i="6"/>
  <c r="Z26" i="6"/>
  <c r="O7" i="15" s="1"/>
  <c r="W26" i="6"/>
  <c r="X26" i="6"/>
  <c r="Y26" i="6"/>
  <c r="AA26" i="6"/>
  <c r="O33" i="15" s="1"/>
  <c r="W6" i="15"/>
  <c r="T50" i="6"/>
  <c r="AB32" i="15" s="1"/>
  <c r="O32" i="15"/>
  <c r="W31" i="15"/>
  <c r="V51" i="15"/>
  <c r="S50" i="6"/>
  <c r="AB6" i="15" s="1"/>
  <c r="O6" i="15"/>
  <c r="AB50" i="6"/>
  <c r="Z6" i="15"/>
  <c r="Z32" i="15"/>
  <c r="L32" i="15"/>
  <c r="AC25" i="6"/>
  <c r="P32" i="15" s="1"/>
  <c r="Y51" i="6"/>
  <c r="V51" i="6"/>
  <c r="O51" i="6"/>
  <c r="W51" i="6"/>
  <c r="X51" i="6"/>
  <c r="AA51" i="6"/>
  <c r="Z33" i="15" s="1"/>
  <c r="Q51" i="6"/>
  <c r="R51" i="6"/>
  <c r="Z51" i="6"/>
  <c r="Z7" i="15" s="1"/>
  <c r="P51" i="6"/>
  <c r="L6" i="15"/>
  <c r="AA6" i="15"/>
  <c r="P6" i="15"/>
  <c r="AB25" i="6"/>
  <c r="T25" i="6"/>
  <c r="O26" i="6"/>
  <c r="P26" i="6"/>
  <c r="Q26" i="6"/>
  <c r="R26" i="6"/>
  <c r="S25" i="6"/>
  <c r="Q6" i="15" s="1"/>
  <c r="M50" i="6"/>
  <c r="K51" i="6"/>
  <c r="Y33" i="15" s="1"/>
  <c r="F51" i="6"/>
  <c r="U7" i="15" s="1"/>
  <c r="W7" i="15" s="1"/>
  <c r="G51" i="6"/>
  <c r="U33" i="15" s="1"/>
  <c r="J51" i="6"/>
  <c r="Y7" i="15" s="1"/>
  <c r="K26" i="6"/>
  <c r="N33" i="15" s="1"/>
  <c r="J26" i="6"/>
  <c r="N7" i="15" s="1"/>
  <c r="G26" i="6"/>
  <c r="I33" i="15" s="1"/>
  <c r="F26" i="6"/>
  <c r="L50" i="6"/>
  <c r="M25" i="6"/>
  <c r="AF24" i="6"/>
  <c r="L25" i="6"/>
  <c r="D52" i="6"/>
  <c r="C52" i="6"/>
  <c r="A29" i="6"/>
  <c r="C27" i="6"/>
  <c r="D27" i="6"/>
  <c r="A15" i="7"/>
  <c r="B8" i="4"/>
  <c r="B5" i="3"/>
  <c r="X8" i="15" l="1"/>
  <c r="X34" i="15"/>
  <c r="Q32" i="15"/>
  <c r="S32" i="15" s="1"/>
  <c r="AH32" i="15" s="1"/>
  <c r="M34" i="15"/>
  <c r="M8" i="15"/>
  <c r="I7" i="15"/>
  <c r="L7" i="15" s="1"/>
  <c r="AC51" i="6"/>
  <c r="AA33" i="15" s="1"/>
  <c r="AD31" i="15"/>
  <c r="AI31" i="15" s="1"/>
  <c r="S6" i="15"/>
  <c r="AD32" i="15"/>
  <c r="AD6" i="15"/>
  <c r="AI6" i="15" s="1"/>
  <c r="T51" i="6"/>
  <c r="AB33" i="15" s="1"/>
  <c r="S51" i="6"/>
  <c r="AB7" i="15" s="1"/>
  <c r="AC26" i="6"/>
  <c r="P33" i="15" s="1"/>
  <c r="W52" i="6"/>
  <c r="X52" i="6"/>
  <c r="O52" i="6"/>
  <c r="Y52" i="6"/>
  <c r="P52" i="6"/>
  <c r="AA52" i="6"/>
  <c r="Z34" i="15" s="1"/>
  <c r="R52" i="6"/>
  <c r="Z52" i="6"/>
  <c r="Q52" i="6"/>
  <c r="V52" i="6"/>
  <c r="AB51" i="6"/>
  <c r="AA7" i="15"/>
  <c r="AE50" i="6"/>
  <c r="AF50" i="6"/>
  <c r="AB26" i="6"/>
  <c r="P7" i="15"/>
  <c r="L33" i="15"/>
  <c r="AE25" i="6"/>
  <c r="AF25" i="6"/>
  <c r="W33" i="15"/>
  <c r="X27" i="6"/>
  <c r="Y27" i="6"/>
  <c r="Z27" i="6"/>
  <c r="AA27" i="6"/>
  <c r="V27" i="6"/>
  <c r="W27" i="6"/>
  <c r="T26" i="6"/>
  <c r="Q33" i="15" s="1"/>
  <c r="S26" i="6"/>
  <c r="Q7" i="15" s="1"/>
  <c r="P27" i="6"/>
  <c r="R27" i="6"/>
  <c r="Q27" i="6"/>
  <c r="O27" i="6"/>
  <c r="M26" i="6"/>
  <c r="L26" i="6"/>
  <c r="M51" i="6"/>
  <c r="F52" i="6"/>
  <c r="U8" i="15" s="1"/>
  <c r="W8" i="15" s="1"/>
  <c r="G52" i="6"/>
  <c r="U34" i="15" s="1"/>
  <c r="W34" i="15" s="1"/>
  <c r="J52" i="6"/>
  <c r="Y8" i="15" s="1"/>
  <c r="K52" i="6"/>
  <c r="Y34" i="15" s="1"/>
  <c r="L51" i="6"/>
  <c r="F27" i="6"/>
  <c r="I8" i="15" s="1"/>
  <c r="G27" i="6"/>
  <c r="J27" i="6"/>
  <c r="N8" i="15" s="1"/>
  <c r="K27" i="6"/>
  <c r="N34" i="15" s="1"/>
  <c r="C53" i="6"/>
  <c r="D53" i="6"/>
  <c r="A30" i="6"/>
  <c r="C28" i="6"/>
  <c r="D28" i="6"/>
  <c r="A16" i="7"/>
  <c r="D16" i="7" s="1"/>
  <c r="B6" i="3"/>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D10" i="7"/>
  <c r="D11" i="7"/>
  <c r="D12" i="7"/>
  <c r="D13" i="7"/>
  <c r="D14" i="7"/>
  <c r="D15" i="7"/>
  <c r="X35" i="15" l="1"/>
  <c r="X9" i="15"/>
  <c r="M9" i="15"/>
  <c r="M35" i="15"/>
  <c r="I34" i="15"/>
  <c r="L34" i="15" s="1"/>
  <c r="M27" i="6"/>
  <c r="AC52" i="6"/>
  <c r="AA34" i="15" s="1"/>
  <c r="S7" i="15"/>
  <c r="AH7" i="15" s="1"/>
  <c r="AD7" i="15"/>
  <c r="AI7" i="15" s="1"/>
  <c r="S33" i="15"/>
  <c r="AH33" i="15" s="1"/>
  <c r="AD33" i="15"/>
  <c r="AE51" i="6"/>
  <c r="S52" i="6"/>
  <c r="AB8" i="15" s="1"/>
  <c r="X28" i="6"/>
  <c r="Y28" i="6"/>
  <c r="Z28" i="6"/>
  <c r="O9" i="15" s="1"/>
  <c r="AA28" i="6"/>
  <c r="O35" i="15" s="1"/>
  <c r="V28" i="6"/>
  <c r="W28" i="6"/>
  <c r="AE26" i="6"/>
  <c r="Z8" i="15"/>
  <c r="Y53" i="6"/>
  <c r="R53" i="6"/>
  <c r="Z53" i="6"/>
  <c r="Z9" i="15" s="1"/>
  <c r="AA53" i="6"/>
  <c r="W53" i="6"/>
  <c r="P53" i="6"/>
  <c r="X53" i="6"/>
  <c r="V53" i="6"/>
  <c r="O53" i="6"/>
  <c r="Q53" i="6"/>
  <c r="AF26" i="6"/>
  <c r="P8" i="15"/>
  <c r="AB27" i="6"/>
  <c r="L8" i="15"/>
  <c r="AH6" i="15"/>
  <c r="O8" i="15"/>
  <c r="AF51" i="6"/>
  <c r="T52" i="6"/>
  <c r="AB34" i="15" s="1"/>
  <c r="AB52" i="6"/>
  <c r="AA8" i="15"/>
  <c r="S27" i="6"/>
  <c r="Q8" i="15" s="1"/>
  <c r="AC27" i="6"/>
  <c r="P34" i="15" s="1"/>
  <c r="O34" i="15"/>
  <c r="T27" i="6"/>
  <c r="Q34" i="15" s="1"/>
  <c r="P28" i="6"/>
  <c r="Q28" i="6"/>
  <c r="R28" i="6"/>
  <c r="O28" i="6"/>
  <c r="L27" i="6"/>
  <c r="M52" i="6"/>
  <c r="AF52" i="6" s="1"/>
  <c r="L52" i="6"/>
  <c r="K53" i="6"/>
  <c r="Y35" i="15" s="1"/>
  <c r="J53" i="6"/>
  <c r="Y9" i="15" s="1"/>
  <c r="F53" i="6"/>
  <c r="U9" i="15" s="1"/>
  <c r="W9" i="15" s="1"/>
  <c r="G53" i="6"/>
  <c r="U35" i="15" s="1"/>
  <c r="W35" i="15" s="1"/>
  <c r="G28" i="6"/>
  <c r="I35" i="15" s="1"/>
  <c r="J28" i="6"/>
  <c r="N9" i="15" s="1"/>
  <c r="K28" i="6"/>
  <c r="N35" i="15" s="1"/>
  <c r="F28" i="6"/>
  <c r="I9" i="15" s="1"/>
  <c r="C29" i="6"/>
  <c r="D29" i="6"/>
  <c r="C54" i="6"/>
  <c r="D54" i="6"/>
  <c r="A31" i="6"/>
  <c r="A17" i="7"/>
  <c r="X80" i="9"/>
  <c r="M80" i="9"/>
  <c r="X36" i="15" l="1"/>
  <c r="X10" i="15"/>
  <c r="M36" i="15"/>
  <c r="M10" i="15"/>
  <c r="AC53" i="6"/>
  <c r="AA35" i="15" s="1"/>
  <c r="AD34" i="15"/>
  <c r="AD8" i="15"/>
  <c r="S8" i="15"/>
  <c r="S34" i="15"/>
  <c r="AH34" i="15" s="1"/>
  <c r="AF27" i="6"/>
  <c r="T53" i="6"/>
  <c r="AB35" i="15" s="1"/>
  <c r="L35" i="15"/>
  <c r="S28" i="6"/>
  <c r="Q9" i="15" s="1"/>
  <c r="Z35" i="15"/>
  <c r="AE52" i="6"/>
  <c r="L9" i="15"/>
  <c r="S53" i="6"/>
  <c r="AB9" i="15" s="1"/>
  <c r="AC28" i="6"/>
  <c r="P35" i="15" s="1"/>
  <c r="X29" i="6"/>
  <c r="Y29" i="6"/>
  <c r="Z29" i="6"/>
  <c r="AA29" i="6"/>
  <c r="O36" i="15" s="1"/>
  <c r="V29" i="6"/>
  <c r="W29" i="6"/>
  <c r="AE27" i="6"/>
  <c r="AA54" i="6"/>
  <c r="Z36" i="15" s="1"/>
  <c r="Q54" i="6"/>
  <c r="O54" i="6"/>
  <c r="W54" i="6"/>
  <c r="V54" i="6"/>
  <c r="P54" i="6"/>
  <c r="Y54" i="6"/>
  <c r="X54" i="6"/>
  <c r="Z54" i="6"/>
  <c r="R54" i="6"/>
  <c r="AB53" i="6"/>
  <c r="AA9" i="15"/>
  <c r="P9" i="15"/>
  <c r="AB28" i="6"/>
  <c r="O29" i="6"/>
  <c r="Q29" i="6"/>
  <c r="R29" i="6"/>
  <c r="P29" i="6"/>
  <c r="T28" i="6"/>
  <c r="Q35" i="15" s="1"/>
  <c r="M53" i="6"/>
  <c r="AF53" i="6" s="1"/>
  <c r="F29" i="6"/>
  <c r="I10" i="15" s="1"/>
  <c r="G29" i="6"/>
  <c r="I36" i="15" s="1"/>
  <c r="K29" i="6"/>
  <c r="N36" i="15" s="1"/>
  <c r="J29" i="6"/>
  <c r="N10" i="15" s="1"/>
  <c r="M28" i="6"/>
  <c r="L53" i="6"/>
  <c r="G54" i="6"/>
  <c r="U36" i="15" s="1"/>
  <c r="W36" i="15" s="1"/>
  <c r="F54" i="6"/>
  <c r="U10" i="15" s="1"/>
  <c r="J54" i="6"/>
  <c r="Y10" i="15" s="1"/>
  <c r="K54" i="6"/>
  <c r="Y36" i="15" s="1"/>
  <c r="L28" i="6"/>
  <c r="D55" i="6"/>
  <c r="C55" i="6"/>
  <c r="A32" i="6"/>
  <c r="D30" i="6"/>
  <c r="C30" i="6"/>
  <c r="AE80" i="9"/>
  <c r="AH80" i="9"/>
  <c r="C7" i="8" s="1"/>
  <c r="A18" i="7"/>
  <c r="D17" i="7"/>
  <c r="AC54" i="6" l="1"/>
  <c r="AA36" i="15" s="1"/>
  <c r="M11" i="15"/>
  <c r="M37" i="15"/>
  <c r="X37" i="15"/>
  <c r="X11" i="15"/>
  <c r="S9" i="15"/>
  <c r="AH9" i="15" s="1"/>
  <c r="AD9" i="15"/>
  <c r="AI9" i="15" s="1"/>
  <c r="AD35" i="15"/>
  <c r="S35" i="15"/>
  <c r="AH35" i="15" s="1"/>
  <c r="AF28" i="6"/>
  <c r="S54" i="6"/>
  <c r="AB10" i="15" s="1"/>
  <c r="AE28" i="6"/>
  <c r="AA55" i="6"/>
  <c r="Q55" i="6"/>
  <c r="R55" i="6"/>
  <c r="W55" i="6"/>
  <c r="V55" i="6"/>
  <c r="Y55" i="6"/>
  <c r="O55" i="6"/>
  <c r="P55" i="6"/>
  <c r="X55" i="6"/>
  <c r="Z55" i="6"/>
  <c r="Z11" i="15" s="1"/>
  <c r="W10" i="15"/>
  <c r="M54" i="6"/>
  <c r="T54" i="6"/>
  <c r="AB36" i="15" s="1"/>
  <c r="Z10" i="15"/>
  <c r="AI8" i="15"/>
  <c r="AA10" i="15"/>
  <c r="AB54" i="6"/>
  <c r="AC29" i="6"/>
  <c r="P36" i="15" s="1"/>
  <c r="L36" i="15"/>
  <c r="L10" i="15"/>
  <c r="AB29" i="6"/>
  <c r="P10" i="15"/>
  <c r="Z30" i="6"/>
  <c r="O11" i="15" s="1"/>
  <c r="V30" i="6"/>
  <c r="AA30" i="6"/>
  <c r="O37" i="15" s="1"/>
  <c r="X30" i="6"/>
  <c r="Y30" i="6"/>
  <c r="W30" i="6"/>
  <c r="AE53" i="6"/>
  <c r="T29" i="6"/>
  <c r="Q36" i="15" s="1"/>
  <c r="O10" i="15"/>
  <c r="AH8" i="15"/>
  <c r="S29" i="6"/>
  <c r="Q10" i="15" s="1"/>
  <c r="Q30" i="6"/>
  <c r="O30" i="6"/>
  <c r="P30" i="6"/>
  <c r="R30" i="6"/>
  <c r="M29" i="6"/>
  <c r="L54" i="6"/>
  <c r="L29" i="6"/>
  <c r="G30" i="6"/>
  <c r="I37" i="15" s="1"/>
  <c r="L37" i="15" s="1"/>
  <c r="J30" i="6"/>
  <c r="N11" i="15" s="1"/>
  <c r="K30" i="6"/>
  <c r="N37" i="15" s="1"/>
  <c r="F30" i="6"/>
  <c r="J55" i="6"/>
  <c r="Y11" i="15" s="1"/>
  <c r="K55" i="6"/>
  <c r="Y37" i="15" s="1"/>
  <c r="G55" i="6"/>
  <c r="F55" i="6"/>
  <c r="C19" i="8"/>
  <c r="C31" i="6"/>
  <c r="D31" i="6"/>
  <c r="C56" i="6"/>
  <c r="D56" i="6"/>
  <c r="A33" i="6"/>
  <c r="A19" i="7"/>
  <c r="D18" i="7"/>
  <c r="AC55" i="6" l="1"/>
  <c r="AA37" i="15" s="1"/>
  <c r="I11" i="15"/>
  <c r="L11" i="15" s="1"/>
  <c r="M12" i="15"/>
  <c r="M38" i="15"/>
  <c r="X38" i="15"/>
  <c r="X12" i="15"/>
  <c r="AD36" i="15"/>
  <c r="S10" i="15"/>
  <c r="AH10" i="15" s="1"/>
  <c r="S36" i="15"/>
  <c r="AH36" i="15" s="1"/>
  <c r="AD10" i="15"/>
  <c r="AI10" i="15" s="1"/>
  <c r="S30" i="6"/>
  <c r="Q11" i="15" s="1"/>
  <c r="S55" i="6"/>
  <c r="AB11" i="15" s="1"/>
  <c r="AC30" i="6"/>
  <c r="P37" i="15" s="1"/>
  <c r="Y56" i="6"/>
  <c r="Z56" i="6"/>
  <c r="AA56" i="6"/>
  <c r="Z38" i="15" s="1"/>
  <c r="O56" i="6"/>
  <c r="P56" i="6"/>
  <c r="W56" i="6"/>
  <c r="R56" i="6"/>
  <c r="Q56" i="6"/>
  <c r="V56" i="6"/>
  <c r="X56" i="6"/>
  <c r="AE29" i="6"/>
  <c r="AF29" i="6"/>
  <c r="L55" i="6"/>
  <c r="U11" i="15"/>
  <c r="W11" i="15" s="1"/>
  <c r="M55" i="6"/>
  <c r="U37" i="15"/>
  <c r="P11" i="15"/>
  <c r="AB30" i="6"/>
  <c r="AA11" i="15"/>
  <c r="AB55" i="6"/>
  <c r="AF54" i="6"/>
  <c r="Z31" i="6"/>
  <c r="AA31" i="6"/>
  <c r="O38" i="15" s="1"/>
  <c r="V31" i="6"/>
  <c r="X31" i="6"/>
  <c r="W31" i="6"/>
  <c r="Y31" i="6"/>
  <c r="AE54" i="6"/>
  <c r="Z37" i="15"/>
  <c r="T55" i="6"/>
  <c r="AB37" i="15" s="1"/>
  <c r="R31" i="6"/>
  <c r="Q31" i="6"/>
  <c r="P31" i="6"/>
  <c r="O31" i="6"/>
  <c r="T30" i="6"/>
  <c r="Q37" i="15" s="1"/>
  <c r="M30" i="6"/>
  <c r="F56" i="6"/>
  <c r="U12" i="15" s="1"/>
  <c r="W12" i="15" s="1"/>
  <c r="K56" i="6"/>
  <c r="Y38" i="15" s="1"/>
  <c r="G56" i="6"/>
  <c r="U38" i="15" s="1"/>
  <c r="W38" i="15" s="1"/>
  <c r="J56" i="6"/>
  <c r="Y12" i="15" s="1"/>
  <c r="L30" i="6"/>
  <c r="F31" i="6"/>
  <c r="G31" i="6"/>
  <c r="I38" i="15" s="1"/>
  <c r="J31" i="6"/>
  <c r="N12" i="15" s="1"/>
  <c r="K31" i="6"/>
  <c r="N38" i="15" s="1"/>
  <c r="C32" i="6"/>
  <c r="D32" i="6"/>
  <c r="A34" i="6"/>
  <c r="C57" i="6"/>
  <c r="D57" i="6"/>
  <c r="A20" i="7"/>
  <c r="D19" i="7"/>
  <c r="I12" i="15" l="1"/>
  <c r="L12" i="15" s="1"/>
  <c r="X13" i="15"/>
  <c r="X39" i="15"/>
  <c r="AC56" i="6"/>
  <c r="AA38" i="15" s="1"/>
  <c r="M39" i="15"/>
  <c r="M13" i="15"/>
  <c r="S11" i="15"/>
  <c r="AH11" i="15" s="1"/>
  <c r="AD11" i="15"/>
  <c r="S37" i="15"/>
  <c r="AH37" i="15" s="1"/>
  <c r="AA12" i="15"/>
  <c r="T31" i="6"/>
  <c r="Q38" i="15" s="1"/>
  <c r="S31" i="6"/>
  <c r="Q12" i="15" s="1"/>
  <c r="AB56" i="6"/>
  <c r="Z12" i="15"/>
  <c r="L38" i="15"/>
  <c r="P12" i="15"/>
  <c r="AB31" i="6"/>
  <c r="AE55" i="6"/>
  <c r="AE30" i="6"/>
  <c r="AF30" i="6"/>
  <c r="AC31" i="6"/>
  <c r="P38" i="15" s="1"/>
  <c r="O12" i="15"/>
  <c r="T56" i="6"/>
  <c r="AB38" i="15" s="1"/>
  <c r="AD38" i="15" s="1"/>
  <c r="AF55" i="6"/>
  <c r="Z32" i="6"/>
  <c r="O13" i="15" s="1"/>
  <c r="AA32" i="6"/>
  <c r="O39" i="15" s="1"/>
  <c r="V32" i="6"/>
  <c r="X32" i="6"/>
  <c r="Y32" i="6"/>
  <c r="W32" i="6"/>
  <c r="AA57" i="6"/>
  <c r="Z39" i="15" s="1"/>
  <c r="P57" i="6"/>
  <c r="W57" i="6"/>
  <c r="Q57" i="6"/>
  <c r="R57" i="6"/>
  <c r="V57" i="6"/>
  <c r="Y57" i="6"/>
  <c r="Z57" i="6"/>
  <c r="Z13" i="15" s="1"/>
  <c r="X57" i="6"/>
  <c r="O57" i="6"/>
  <c r="W37" i="15"/>
  <c r="S56" i="6"/>
  <c r="AB12" i="15" s="1"/>
  <c r="R32" i="6"/>
  <c r="O32" i="6"/>
  <c r="P32" i="6"/>
  <c r="Q32" i="6"/>
  <c r="F32" i="6"/>
  <c r="I13" i="15" s="1"/>
  <c r="G32" i="6"/>
  <c r="I39" i="15" s="1"/>
  <c r="L39" i="15" s="1"/>
  <c r="J32" i="6"/>
  <c r="N13" i="15" s="1"/>
  <c r="K32" i="6"/>
  <c r="N39" i="15" s="1"/>
  <c r="M56" i="6"/>
  <c r="M31" i="6"/>
  <c r="L31" i="6"/>
  <c r="F57" i="6"/>
  <c r="U13" i="15" s="1"/>
  <c r="W13" i="15" s="1"/>
  <c r="J57" i="6"/>
  <c r="Y13" i="15" s="1"/>
  <c r="G57" i="6"/>
  <c r="U39" i="15" s="1"/>
  <c r="K57" i="6"/>
  <c r="Y39" i="15" s="1"/>
  <c r="L56" i="6"/>
  <c r="D33" i="6"/>
  <c r="C33" i="6"/>
  <c r="C58" i="6"/>
  <c r="D58" i="6"/>
  <c r="A35" i="6"/>
  <c r="A21" i="7"/>
  <c r="D20" i="7"/>
  <c r="M40" i="15" l="1"/>
  <c r="M14" i="15"/>
  <c r="AC57" i="6"/>
  <c r="AA39" i="15" s="1"/>
  <c r="X14" i="15"/>
  <c r="X40" i="15"/>
  <c r="S12" i="15"/>
  <c r="AH12" i="15" s="1"/>
  <c r="AD12" i="15"/>
  <c r="AI12" i="15" s="1"/>
  <c r="AD37" i="15"/>
  <c r="S38" i="15"/>
  <c r="AH38" i="15" s="1"/>
  <c r="T32" i="6"/>
  <c r="Q39" i="15" s="1"/>
  <c r="S57" i="6"/>
  <c r="AB13" i="15" s="1"/>
  <c r="T57" i="6"/>
  <c r="AB39" i="15" s="1"/>
  <c r="V58" i="6"/>
  <c r="Y58" i="6"/>
  <c r="W58" i="6"/>
  <c r="O58" i="6"/>
  <c r="X58" i="6"/>
  <c r="AA58" i="6"/>
  <c r="Z40" i="15" s="1"/>
  <c r="Q58" i="6"/>
  <c r="R58" i="6"/>
  <c r="Z58" i="6"/>
  <c r="Z14" i="15" s="1"/>
  <c r="P58" i="6"/>
  <c r="W39" i="15"/>
  <c r="AF56" i="6"/>
  <c r="AI11" i="15"/>
  <c r="X33" i="6"/>
  <c r="V33" i="6"/>
  <c r="W33" i="6"/>
  <c r="Z33" i="6"/>
  <c r="O14" i="15" s="1"/>
  <c r="AA33" i="6"/>
  <c r="O40" i="15" s="1"/>
  <c r="Y33" i="6"/>
  <c r="AB57" i="6"/>
  <c r="AA13" i="15"/>
  <c r="AC32" i="6"/>
  <c r="P39" i="15" s="1"/>
  <c r="AB32" i="6"/>
  <c r="P13" i="15"/>
  <c r="AF31" i="6"/>
  <c r="L13" i="15"/>
  <c r="M57" i="6"/>
  <c r="AE31" i="6"/>
  <c r="AE56" i="6"/>
  <c r="O33" i="6"/>
  <c r="P33" i="6"/>
  <c r="Q33" i="6"/>
  <c r="R33" i="6"/>
  <c r="S32" i="6"/>
  <c r="Q13" i="15" s="1"/>
  <c r="L57" i="6"/>
  <c r="M32" i="6"/>
  <c r="L32" i="6"/>
  <c r="K33" i="6"/>
  <c r="N40" i="15" s="1"/>
  <c r="F33" i="6"/>
  <c r="J33" i="6"/>
  <c r="N14" i="15" s="1"/>
  <c r="G33" i="6"/>
  <c r="I40" i="15" s="1"/>
  <c r="L40" i="15" s="1"/>
  <c r="K58" i="6"/>
  <c r="Y40" i="15" s="1"/>
  <c r="J58" i="6"/>
  <c r="Y14" i="15" s="1"/>
  <c r="F58" i="6"/>
  <c r="U14" i="15" s="1"/>
  <c r="G58" i="6"/>
  <c r="U40" i="15" s="1"/>
  <c r="D59" i="6"/>
  <c r="C59" i="6"/>
  <c r="A36" i="6"/>
  <c r="C34" i="6"/>
  <c r="D34" i="6"/>
  <c r="A22" i="7"/>
  <c r="D21" i="7"/>
  <c r="AC58" i="6" l="1"/>
  <c r="AA40" i="15" s="1"/>
  <c r="AF32" i="6"/>
  <c r="AC33" i="6"/>
  <c r="P40" i="15" s="1"/>
  <c r="M41" i="15"/>
  <c r="M15" i="15"/>
  <c r="I14" i="15"/>
  <c r="L14" i="15" s="1"/>
  <c r="X15" i="15"/>
  <c r="X41" i="15"/>
  <c r="S13" i="15"/>
  <c r="AH13" i="15" s="1"/>
  <c r="AD13" i="15"/>
  <c r="S39" i="15"/>
  <c r="AH39" i="15" s="1"/>
  <c r="AD39" i="15"/>
  <c r="T58" i="6"/>
  <c r="AB40" i="15" s="1"/>
  <c r="AI13" i="15"/>
  <c r="S58" i="6"/>
  <c r="AB14" i="15" s="1"/>
  <c r="W59" i="6"/>
  <c r="O59" i="6"/>
  <c r="X59" i="6"/>
  <c r="P59" i="6"/>
  <c r="Y59" i="6"/>
  <c r="Q59" i="6"/>
  <c r="Z59" i="6"/>
  <c r="Z15" i="15" s="1"/>
  <c r="R59" i="6"/>
  <c r="AA59" i="6"/>
  <c r="Z41" i="15" s="1"/>
  <c r="V59" i="6"/>
  <c r="P14" i="15"/>
  <c r="AB33" i="6"/>
  <c r="AF57" i="6"/>
  <c r="AE57" i="6"/>
  <c r="AB58" i="6"/>
  <c r="AA14" i="15"/>
  <c r="V34" i="6"/>
  <c r="W34" i="6"/>
  <c r="X34" i="6"/>
  <c r="Z34" i="6"/>
  <c r="O15" i="15" s="1"/>
  <c r="AA34" i="6"/>
  <c r="O41" i="15" s="1"/>
  <c r="Y34" i="6"/>
  <c r="AE32" i="6"/>
  <c r="W40" i="15"/>
  <c r="W14" i="15"/>
  <c r="M33" i="6"/>
  <c r="T33" i="6"/>
  <c r="Q40" i="15" s="1"/>
  <c r="P34" i="6"/>
  <c r="Q34" i="6"/>
  <c r="R34" i="6"/>
  <c r="O34" i="6"/>
  <c r="S33" i="6"/>
  <c r="Q14" i="15" s="1"/>
  <c r="M58" i="6"/>
  <c r="F34" i="6"/>
  <c r="J34" i="6"/>
  <c r="N15" i="15" s="1"/>
  <c r="G34" i="6"/>
  <c r="I41" i="15" s="1"/>
  <c r="K34" i="6"/>
  <c r="N41" i="15" s="1"/>
  <c r="L58" i="6"/>
  <c r="G59" i="6"/>
  <c r="U41" i="15" s="1"/>
  <c r="F59" i="6"/>
  <c r="U15" i="15" s="1"/>
  <c r="W15" i="15" s="1"/>
  <c r="K59" i="6"/>
  <c r="Y41" i="15" s="1"/>
  <c r="J59" i="6"/>
  <c r="Y15" i="15" s="1"/>
  <c r="L33" i="6"/>
  <c r="D60" i="6"/>
  <c r="C60" i="6"/>
  <c r="A37" i="6"/>
  <c r="C35" i="6"/>
  <c r="D35" i="6"/>
  <c r="A23" i="7"/>
  <c r="D22" i="7"/>
  <c r="M42" i="15" l="1"/>
  <c r="M16" i="15"/>
  <c r="I15" i="15"/>
  <c r="L15" i="15" s="1"/>
  <c r="AC59" i="6"/>
  <c r="AA41" i="15" s="1"/>
  <c r="X16" i="15"/>
  <c r="X42" i="15"/>
  <c r="S14" i="15"/>
  <c r="AH14" i="15" s="1"/>
  <c r="S40" i="15"/>
  <c r="AH40" i="15" s="1"/>
  <c r="AD40" i="15"/>
  <c r="AD14" i="15"/>
  <c r="AI14" i="15" s="1"/>
  <c r="S59" i="6"/>
  <c r="AB15" i="15" s="1"/>
  <c r="T59" i="6"/>
  <c r="AB41" i="15" s="1"/>
  <c r="AE33" i="6"/>
  <c r="AF58" i="6"/>
  <c r="AE58" i="6"/>
  <c r="L41" i="15"/>
  <c r="AB59" i="6"/>
  <c r="AA15" i="15"/>
  <c r="AF33" i="6"/>
  <c r="W41" i="15"/>
  <c r="S34" i="6"/>
  <c r="Q15" i="15" s="1"/>
  <c r="AC34" i="6"/>
  <c r="P41" i="15" s="1"/>
  <c r="Y60" i="6"/>
  <c r="R60" i="6"/>
  <c r="Z60" i="6"/>
  <c r="Z16" i="15" s="1"/>
  <c r="AA60" i="6"/>
  <c r="Z42" i="15" s="1"/>
  <c r="W60" i="6"/>
  <c r="P60" i="6"/>
  <c r="O60" i="6"/>
  <c r="Q60" i="6"/>
  <c r="V60" i="6"/>
  <c r="X60" i="6"/>
  <c r="X35" i="6"/>
  <c r="V35" i="6"/>
  <c r="W35" i="6"/>
  <c r="Z35" i="6"/>
  <c r="O16" i="15" s="1"/>
  <c r="Y35" i="6"/>
  <c r="AA35" i="6"/>
  <c r="O42" i="15" s="1"/>
  <c r="P15" i="15"/>
  <c r="AB34" i="6"/>
  <c r="M59" i="6"/>
  <c r="T34" i="6"/>
  <c r="Q41" i="15" s="1"/>
  <c r="L59" i="6"/>
  <c r="R35" i="6"/>
  <c r="O35" i="6"/>
  <c r="P35" i="6"/>
  <c r="Q35" i="6"/>
  <c r="J60" i="6"/>
  <c r="Y16" i="15" s="1"/>
  <c r="K60" i="6"/>
  <c r="Y42" i="15" s="1"/>
  <c r="F60" i="6"/>
  <c r="U16" i="15" s="1"/>
  <c r="W16" i="15" s="1"/>
  <c r="G60" i="6"/>
  <c r="U42" i="15" s="1"/>
  <c r="W42" i="15" s="1"/>
  <c r="L34" i="6"/>
  <c r="M34" i="6"/>
  <c r="K35" i="6"/>
  <c r="N42" i="15" s="1"/>
  <c r="G35" i="6"/>
  <c r="I42" i="15" s="1"/>
  <c r="L42" i="15" s="1"/>
  <c r="F35" i="6"/>
  <c r="I16" i="15" s="1"/>
  <c r="J35" i="6"/>
  <c r="N16" i="15" s="1"/>
  <c r="C36" i="6"/>
  <c r="D36" i="6"/>
  <c r="C61" i="6"/>
  <c r="D61" i="6"/>
  <c r="A38" i="6"/>
  <c r="A24" i="7"/>
  <c r="D23" i="7"/>
  <c r="AC60" i="6" l="1"/>
  <c r="AA42" i="15" s="1"/>
  <c r="X43" i="15"/>
  <c r="X17" i="15"/>
  <c r="M17" i="15"/>
  <c r="M43" i="15"/>
  <c r="S15" i="15"/>
  <c r="AH15" i="15" s="1"/>
  <c r="S41" i="15"/>
  <c r="AH41" i="15" s="1"/>
  <c r="AD41" i="15"/>
  <c r="AD15" i="15"/>
  <c r="AI15" i="15" s="1"/>
  <c r="AF59" i="6"/>
  <c r="T60" i="6"/>
  <c r="AB42" i="15" s="1"/>
  <c r="T35" i="6"/>
  <c r="Q42" i="15" s="1"/>
  <c r="L16" i="15"/>
  <c r="AE34" i="6"/>
  <c r="S60" i="6"/>
  <c r="AB16" i="15" s="1"/>
  <c r="Y61" i="6"/>
  <c r="R61" i="6"/>
  <c r="Z61" i="6"/>
  <c r="Z17" i="15" s="1"/>
  <c r="O61" i="6"/>
  <c r="AA61" i="6"/>
  <c r="Z43" i="15" s="1"/>
  <c r="P61" i="6"/>
  <c r="Q61" i="6"/>
  <c r="W61" i="6"/>
  <c r="X61" i="6"/>
  <c r="V61" i="6"/>
  <c r="AC35" i="6"/>
  <c r="P42" i="15" s="1"/>
  <c r="L35" i="6"/>
  <c r="AB35" i="6"/>
  <c r="P16" i="15"/>
  <c r="V36" i="6"/>
  <c r="Z36" i="6"/>
  <c r="O17" i="15" s="1"/>
  <c r="W36" i="6"/>
  <c r="X36" i="6"/>
  <c r="Y36" i="6"/>
  <c r="AA36" i="6"/>
  <c r="O43" i="15" s="1"/>
  <c r="AF34" i="6"/>
  <c r="AE59" i="6"/>
  <c r="AA16" i="15"/>
  <c r="AB60" i="6"/>
  <c r="S35" i="6"/>
  <c r="Q16" i="15" s="1"/>
  <c r="P36" i="6"/>
  <c r="Q36" i="6"/>
  <c r="R36" i="6"/>
  <c r="O36" i="6"/>
  <c r="M35" i="6"/>
  <c r="F61" i="6"/>
  <c r="U17" i="15" s="1"/>
  <c r="W17" i="15" s="1"/>
  <c r="G61" i="6"/>
  <c r="U43" i="15" s="1"/>
  <c r="W43" i="15" s="1"/>
  <c r="J61" i="6"/>
  <c r="Y17" i="15" s="1"/>
  <c r="K61" i="6"/>
  <c r="Y43" i="15" s="1"/>
  <c r="F36" i="6"/>
  <c r="G36" i="6"/>
  <c r="I43" i="15" s="1"/>
  <c r="L43" i="15" s="1"/>
  <c r="J36" i="6"/>
  <c r="N17" i="15" s="1"/>
  <c r="K36" i="6"/>
  <c r="N43" i="15" s="1"/>
  <c r="L60" i="6"/>
  <c r="M60" i="6"/>
  <c r="A39" i="6"/>
  <c r="D37" i="6"/>
  <c r="C37" i="6"/>
  <c r="C62" i="6"/>
  <c r="D62" i="6"/>
  <c r="A25" i="7"/>
  <c r="D24" i="7"/>
  <c r="T36" i="6" l="1"/>
  <c r="AC61" i="6"/>
  <c r="AA43" i="15" s="1"/>
  <c r="AE35" i="6"/>
  <c r="X44" i="15"/>
  <c r="X18" i="15"/>
  <c r="M18" i="15"/>
  <c r="M44" i="15"/>
  <c r="I17" i="15"/>
  <c r="L17" i="15" s="1"/>
  <c r="S16" i="15"/>
  <c r="AH16" i="15" s="1"/>
  <c r="AD42" i="15"/>
  <c r="S42" i="15"/>
  <c r="AH42" i="15" s="1"/>
  <c r="AD16" i="15"/>
  <c r="AI16" i="15" s="1"/>
  <c r="AF35" i="6"/>
  <c r="S36" i="6"/>
  <c r="Q17" i="15" s="1"/>
  <c r="P17" i="15"/>
  <c r="AB36" i="6"/>
  <c r="AA17" i="15"/>
  <c r="AB61" i="6"/>
  <c r="W62" i="6"/>
  <c r="Q62" i="6"/>
  <c r="X62" i="6"/>
  <c r="R62" i="6"/>
  <c r="AA62" i="6"/>
  <c r="Z44" i="15" s="1"/>
  <c r="Y62" i="6"/>
  <c r="Z62" i="6"/>
  <c r="Z18" i="15" s="1"/>
  <c r="O62" i="6"/>
  <c r="V62" i="6"/>
  <c r="P62" i="6"/>
  <c r="AE60" i="6"/>
  <c r="AF60" i="6"/>
  <c r="T61" i="6"/>
  <c r="AB43" i="15" s="1"/>
  <c r="L36" i="6"/>
  <c r="AC36" i="6"/>
  <c r="P43" i="15" s="1"/>
  <c r="V37" i="6"/>
  <c r="W37" i="6"/>
  <c r="X37" i="6"/>
  <c r="Z37" i="6"/>
  <c r="O18" i="15" s="1"/>
  <c r="Y37" i="6"/>
  <c r="AA37" i="6"/>
  <c r="O44" i="15" s="1"/>
  <c r="S61" i="6"/>
  <c r="AB17" i="15" s="1"/>
  <c r="O37" i="6"/>
  <c r="P37" i="6"/>
  <c r="Q37" i="6"/>
  <c r="R37" i="6"/>
  <c r="M36" i="6"/>
  <c r="Q43" i="15"/>
  <c r="J37" i="6"/>
  <c r="N18" i="15" s="1"/>
  <c r="K37" i="6"/>
  <c r="N44" i="15" s="1"/>
  <c r="F37" i="6"/>
  <c r="G37" i="6"/>
  <c r="M61" i="6"/>
  <c r="L61" i="6"/>
  <c r="F62" i="6"/>
  <c r="U18" i="15" s="1"/>
  <c r="J62" i="6"/>
  <c r="Y18" i="15" s="1"/>
  <c r="G62" i="6"/>
  <c r="U44" i="15" s="1"/>
  <c r="K62" i="6"/>
  <c r="Y44" i="15" s="1"/>
  <c r="D38" i="6"/>
  <c r="C38" i="6"/>
  <c r="C63" i="6"/>
  <c r="D63" i="6"/>
  <c r="A40" i="6"/>
  <c r="A26" i="7"/>
  <c r="D25" i="7"/>
  <c r="M19" i="15" l="1"/>
  <c r="M45" i="15"/>
  <c r="S17" i="15"/>
  <c r="AH17" i="15" s="1"/>
  <c r="I18" i="15"/>
  <c r="L18" i="15" s="1"/>
  <c r="S43" i="15"/>
  <c r="AH43" i="15" s="1"/>
  <c r="X45" i="15"/>
  <c r="X19" i="15"/>
  <c r="AC62" i="6"/>
  <c r="AA44" i="15" s="1"/>
  <c r="AD43" i="15"/>
  <c r="AD17" i="15"/>
  <c r="AI17" i="15" s="1"/>
  <c r="AF61" i="6"/>
  <c r="AB62" i="6"/>
  <c r="S62" i="6"/>
  <c r="AB18" i="15" s="1"/>
  <c r="AE61" i="6"/>
  <c r="T62" i="6"/>
  <c r="AB44" i="15" s="1"/>
  <c r="V38" i="6"/>
  <c r="W38" i="6"/>
  <c r="Z38" i="6"/>
  <c r="O19" i="15" s="1"/>
  <c r="X38" i="6"/>
  <c r="Y38" i="6"/>
  <c r="AA38" i="6"/>
  <c r="O45" i="15" s="1"/>
  <c r="AC37" i="6"/>
  <c r="P44" i="15" s="1"/>
  <c r="W18" i="15"/>
  <c r="AA18" i="15"/>
  <c r="W44" i="15"/>
  <c r="P18" i="15"/>
  <c r="AB37" i="6"/>
  <c r="AE36" i="6"/>
  <c r="M37" i="6"/>
  <c r="I44" i="15"/>
  <c r="L44" i="15" s="1"/>
  <c r="Y63" i="6"/>
  <c r="Z63" i="6"/>
  <c r="Z19" i="15" s="1"/>
  <c r="AA63" i="6"/>
  <c r="Z45" i="15" s="1"/>
  <c r="O63" i="6"/>
  <c r="Q63" i="6"/>
  <c r="P63" i="6"/>
  <c r="W63" i="6"/>
  <c r="V63" i="6"/>
  <c r="R63" i="6"/>
  <c r="X63" i="6"/>
  <c r="AF36" i="6"/>
  <c r="L37" i="6"/>
  <c r="O38" i="6"/>
  <c r="P38" i="6"/>
  <c r="R38" i="6"/>
  <c r="Q38" i="6"/>
  <c r="S37" i="6"/>
  <c r="Q18" i="15" s="1"/>
  <c r="T37" i="6"/>
  <c r="Q44" i="15" s="1"/>
  <c r="F38" i="6"/>
  <c r="G38" i="6"/>
  <c r="I45" i="15" s="1"/>
  <c r="L45" i="15" s="1"/>
  <c r="J38" i="6"/>
  <c r="N19" i="15" s="1"/>
  <c r="K38" i="6"/>
  <c r="N45" i="15" s="1"/>
  <c r="M62" i="6"/>
  <c r="L62" i="6"/>
  <c r="AE62" i="6" s="1"/>
  <c r="K63" i="6"/>
  <c r="Y45" i="15" s="1"/>
  <c r="F63" i="6"/>
  <c r="U19" i="15" s="1"/>
  <c r="W19" i="15" s="1"/>
  <c r="G63" i="6"/>
  <c r="U45" i="15" s="1"/>
  <c r="W45" i="15" s="1"/>
  <c r="J63" i="6"/>
  <c r="Y19" i="15" s="1"/>
  <c r="A41" i="6"/>
  <c r="D64" i="6"/>
  <c r="C64" i="6"/>
  <c r="D39" i="6"/>
  <c r="C39" i="6"/>
  <c r="A27" i="7"/>
  <c r="D26" i="7"/>
  <c r="AC63" i="6" l="1"/>
  <c r="AA45" i="15" s="1"/>
  <c r="X46" i="15"/>
  <c r="X20" i="15"/>
  <c r="I19" i="15"/>
  <c r="L19" i="15" s="1"/>
  <c r="M20" i="15"/>
  <c r="M46" i="15"/>
  <c r="S18" i="15"/>
  <c r="AH18" i="15" s="1"/>
  <c r="AD44" i="15"/>
  <c r="S44" i="15"/>
  <c r="AH44" i="15" s="1"/>
  <c r="AD18" i="15"/>
  <c r="AI18" i="15" s="1"/>
  <c r="AF62" i="6"/>
  <c r="AB63" i="6"/>
  <c r="AA19" i="15"/>
  <c r="T63" i="6"/>
  <c r="AB45" i="15" s="1"/>
  <c r="S63" i="6"/>
  <c r="AC38" i="6"/>
  <c r="P45" i="15" s="1"/>
  <c r="X39" i="6"/>
  <c r="Y39" i="6"/>
  <c r="Z39" i="6"/>
  <c r="O20" i="15" s="1"/>
  <c r="AA39" i="6"/>
  <c r="O46" i="15" s="1"/>
  <c r="V39" i="6"/>
  <c r="W39" i="6"/>
  <c r="AA64" i="6"/>
  <c r="Z46" i="15" s="1"/>
  <c r="P64" i="6"/>
  <c r="Q64" i="6"/>
  <c r="R64" i="6"/>
  <c r="W64" i="6"/>
  <c r="V64" i="6"/>
  <c r="Y64" i="6"/>
  <c r="X64" i="6"/>
  <c r="Z64" i="6"/>
  <c r="Z20" i="15" s="1"/>
  <c r="O64" i="6"/>
  <c r="AE37" i="6"/>
  <c r="AF37" i="6"/>
  <c r="AB38" i="6"/>
  <c r="P19" i="15"/>
  <c r="T38" i="6"/>
  <c r="Q45" i="15" s="1"/>
  <c r="L63" i="6"/>
  <c r="P39" i="6"/>
  <c r="Q39" i="6"/>
  <c r="R39" i="6"/>
  <c r="O39" i="6"/>
  <c r="S38" i="6"/>
  <c r="Q19" i="15" s="1"/>
  <c r="M63" i="6"/>
  <c r="J39" i="6"/>
  <c r="N20" i="15" s="1"/>
  <c r="K39" i="6"/>
  <c r="N46" i="15" s="1"/>
  <c r="G39" i="6"/>
  <c r="I46" i="15" s="1"/>
  <c r="L46" i="15" s="1"/>
  <c r="F39" i="6"/>
  <c r="I20" i="15" s="1"/>
  <c r="M38" i="6"/>
  <c r="G64" i="6"/>
  <c r="U46" i="15" s="1"/>
  <c r="F64" i="6"/>
  <c r="U20" i="15" s="1"/>
  <c r="W20" i="15" s="1"/>
  <c r="J64" i="6"/>
  <c r="Y20" i="15" s="1"/>
  <c r="K64" i="6"/>
  <c r="Y46" i="15" s="1"/>
  <c r="L38" i="6"/>
  <c r="C40" i="6"/>
  <c r="D40" i="6"/>
  <c r="D65" i="6"/>
  <c r="C65" i="6"/>
  <c r="A42" i="6"/>
  <c r="A28" i="7"/>
  <c r="A29" i="7" s="1"/>
  <c r="D27" i="7"/>
  <c r="M47" i="15" l="1"/>
  <c r="M21" i="15"/>
  <c r="AC64" i="6"/>
  <c r="AA46" i="15" s="1"/>
  <c r="X21" i="15"/>
  <c r="X47" i="15"/>
  <c r="AD45" i="15"/>
  <c r="S19" i="15"/>
  <c r="AH19" i="15" s="1"/>
  <c r="S45" i="15"/>
  <c r="AH45" i="15" s="1"/>
  <c r="S39" i="6"/>
  <c r="Q20" i="15" s="1"/>
  <c r="AF63" i="6"/>
  <c r="S64" i="6"/>
  <c r="AB20" i="15" s="1"/>
  <c r="AB19" i="15"/>
  <c r="W46" i="15"/>
  <c r="V65" i="6"/>
  <c r="W65" i="6"/>
  <c r="X65" i="6"/>
  <c r="O65" i="6"/>
  <c r="Y65" i="6"/>
  <c r="P65" i="6"/>
  <c r="AA65" i="6"/>
  <c r="Z47" i="15" s="1"/>
  <c r="R65" i="6"/>
  <c r="Z65" i="6"/>
  <c r="Z21" i="15" s="1"/>
  <c r="Q65" i="6"/>
  <c r="AC39" i="6"/>
  <c r="P46" i="15" s="1"/>
  <c r="X40" i="6"/>
  <c r="Y40" i="6"/>
  <c r="Z40" i="6"/>
  <c r="O21" i="15" s="1"/>
  <c r="AA40" i="6"/>
  <c r="O47" i="15" s="1"/>
  <c r="V40" i="6"/>
  <c r="W40" i="6"/>
  <c r="AB64" i="6"/>
  <c r="AA20" i="15"/>
  <c r="P20" i="15"/>
  <c r="AB39" i="6"/>
  <c r="L20" i="15"/>
  <c r="T64" i="6"/>
  <c r="AB46" i="15" s="1"/>
  <c r="AE38" i="6"/>
  <c r="AF38" i="6"/>
  <c r="AE63" i="6"/>
  <c r="M64" i="6"/>
  <c r="T39" i="6"/>
  <c r="Q46" i="15" s="1"/>
  <c r="R40" i="6"/>
  <c r="O40" i="6"/>
  <c r="P40" i="6"/>
  <c r="Q40" i="6"/>
  <c r="M39" i="6"/>
  <c r="J65" i="6"/>
  <c r="Y21" i="15" s="1"/>
  <c r="K65" i="6"/>
  <c r="Y47" i="15" s="1"/>
  <c r="F65" i="6"/>
  <c r="U21" i="15" s="1"/>
  <c r="W21" i="15" s="1"/>
  <c r="G65" i="6"/>
  <c r="U47" i="15" s="1"/>
  <c r="W47" i="15" s="1"/>
  <c r="L64" i="6"/>
  <c r="L39" i="6"/>
  <c r="G40" i="6"/>
  <c r="I47" i="15" s="1"/>
  <c r="L47" i="15" s="1"/>
  <c r="F40" i="6"/>
  <c r="K40" i="6"/>
  <c r="N47" i="15" s="1"/>
  <c r="J40" i="6"/>
  <c r="N21" i="15" s="1"/>
  <c r="A43" i="6"/>
  <c r="D66" i="6"/>
  <c r="C66" i="6"/>
  <c r="D41" i="6"/>
  <c r="C41" i="6"/>
  <c r="A30" i="7"/>
  <c r="D30" i="7" s="1"/>
  <c r="D29" i="7"/>
  <c r="D28" i="7"/>
  <c r="D31" i="7" s="1"/>
  <c r="S20" i="15" l="1"/>
  <c r="AH20" i="15" s="1"/>
  <c r="AC65" i="6"/>
  <c r="AA47" i="15" s="1"/>
  <c r="I21" i="15"/>
  <c r="L21" i="15" s="1"/>
  <c r="M22" i="15"/>
  <c r="M48" i="15"/>
  <c r="X22" i="15"/>
  <c r="X48" i="15"/>
  <c r="AD20" i="15"/>
  <c r="AI20" i="15" s="1"/>
  <c r="S46" i="15"/>
  <c r="AH46" i="15" s="1"/>
  <c r="AD46" i="15"/>
  <c r="AD19" i="15"/>
  <c r="AI19" i="15" s="1"/>
  <c r="C11" i="8"/>
  <c r="C23" i="8"/>
  <c r="AE64" i="6"/>
  <c r="S65" i="6"/>
  <c r="AB21" i="15" s="1"/>
  <c r="P21" i="15"/>
  <c r="AB40" i="6"/>
  <c r="AB65" i="6"/>
  <c r="AA21" i="15"/>
  <c r="Y41" i="6"/>
  <c r="Z41" i="6"/>
  <c r="O22" i="15" s="1"/>
  <c r="AA41" i="6"/>
  <c r="O48" i="15" s="1"/>
  <c r="W41" i="6"/>
  <c r="X41" i="6"/>
  <c r="V41" i="6"/>
  <c r="AE39" i="6"/>
  <c r="T65" i="6"/>
  <c r="AB47" i="15" s="1"/>
  <c r="W66" i="6"/>
  <c r="O66" i="6"/>
  <c r="X66" i="6"/>
  <c r="P66" i="6"/>
  <c r="AA66" i="6"/>
  <c r="Z48" i="15" s="1"/>
  <c r="Y66" i="6"/>
  <c r="Q66" i="6"/>
  <c r="Z66" i="6"/>
  <c r="Z22" i="15" s="1"/>
  <c r="R66" i="6"/>
  <c r="V66" i="6"/>
  <c r="AF39" i="6"/>
  <c r="T40" i="6"/>
  <c r="Q47" i="15" s="1"/>
  <c r="AF64" i="6"/>
  <c r="AC40" i="6"/>
  <c r="P47" i="15" s="1"/>
  <c r="L40" i="6"/>
  <c r="M40" i="6"/>
  <c r="S40" i="6"/>
  <c r="Q21" i="15" s="1"/>
  <c r="R41" i="6"/>
  <c r="Q41" i="6"/>
  <c r="O41" i="6"/>
  <c r="P41" i="6"/>
  <c r="K41" i="6"/>
  <c r="N48" i="15" s="1"/>
  <c r="F41" i="6"/>
  <c r="J41" i="6"/>
  <c r="N22" i="15" s="1"/>
  <c r="G41" i="6"/>
  <c r="I48" i="15" s="1"/>
  <c r="L48" i="15" s="1"/>
  <c r="M65" i="6"/>
  <c r="L65" i="6"/>
  <c r="G66" i="6"/>
  <c r="U48" i="15" s="1"/>
  <c r="W48" i="15" s="1"/>
  <c r="F66" i="6"/>
  <c r="U22" i="15" s="1"/>
  <c r="W22" i="15" s="1"/>
  <c r="K66" i="6"/>
  <c r="Y48" i="15" s="1"/>
  <c r="J66" i="6"/>
  <c r="Y22" i="15" s="1"/>
  <c r="D42" i="6"/>
  <c r="C42" i="6"/>
  <c r="D67" i="6"/>
  <c r="C67" i="6"/>
  <c r="C5" i="8"/>
  <c r="S47" i="15" l="1"/>
  <c r="AH47" i="15" s="1"/>
  <c r="AC66" i="6"/>
  <c r="AA48" i="15" s="1"/>
  <c r="X23" i="15"/>
  <c r="X49" i="15"/>
  <c r="I22" i="15"/>
  <c r="L22" i="15" s="1"/>
  <c r="M49" i="15"/>
  <c r="M23" i="15"/>
  <c r="S21" i="15"/>
  <c r="AH21" i="15" s="1"/>
  <c r="AD47" i="15"/>
  <c r="AD21" i="15"/>
  <c r="AI21" i="15" s="1"/>
  <c r="AF40" i="6"/>
  <c r="S66" i="6"/>
  <c r="AB22" i="15" s="1"/>
  <c r="AA22" i="15"/>
  <c r="AB66" i="6"/>
  <c r="W67" i="6"/>
  <c r="AC67" i="6" s="1"/>
  <c r="AA49" i="15" s="1"/>
  <c r="O67" i="6"/>
  <c r="X67" i="6"/>
  <c r="Y67" i="6"/>
  <c r="AA67" i="6"/>
  <c r="Z49" i="15" s="1"/>
  <c r="Z67" i="6"/>
  <c r="Z23" i="15" s="1"/>
  <c r="Q67" i="6"/>
  <c r="V67" i="6"/>
  <c r="P67" i="6"/>
  <c r="R67" i="6"/>
  <c r="AF65" i="6"/>
  <c r="AE40" i="6"/>
  <c r="AE65" i="6"/>
  <c r="AB41" i="6"/>
  <c r="P22" i="15"/>
  <c r="AA42" i="6"/>
  <c r="O49" i="15" s="1"/>
  <c r="W42" i="6"/>
  <c r="V42" i="6"/>
  <c r="Y42" i="6"/>
  <c r="Z42" i="6"/>
  <c r="O23" i="15" s="1"/>
  <c r="X42" i="6"/>
  <c r="T41" i="6"/>
  <c r="Q48" i="15" s="1"/>
  <c r="T66" i="6"/>
  <c r="AB48" i="15" s="1"/>
  <c r="S41" i="6"/>
  <c r="Q22" i="15" s="1"/>
  <c r="AC41" i="6"/>
  <c r="P48" i="15" s="1"/>
  <c r="R42" i="6"/>
  <c r="O42" i="6"/>
  <c r="P42" i="6"/>
  <c r="Q42" i="6"/>
  <c r="M41" i="6"/>
  <c r="L66" i="6"/>
  <c r="J67" i="6"/>
  <c r="Y23" i="15" s="1"/>
  <c r="K67" i="6"/>
  <c r="Y49" i="15" s="1"/>
  <c r="F67" i="6"/>
  <c r="G67" i="6"/>
  <c r="U49" i="15" s="1"/>
  <c r="W49" i="15" s="1"/>
  <c r="F42" i="6"/>
  <c r="G42" i="6"/>
  <c r="I49" i="15" s="1"/>
  <c r="L49" i="15" s="1"/>
  <c r="J42" i="6"/>
  <c r="N23" i="15" s="1"/>
  <c r="K42" i="6"/>
  <c r="N49" i="15" s="1"/>
  <c r="M66" i="6"/>
  <c r="L41" i="6"/>
  <c r="D68" i="6"/>
  <c r="C68" i="6"/>
  <c r="B69" i="6"/>
  <c r="C43" i="6"/>
  <c r="D43" i="6"/>
  <c r="B44" i="6"/>
  <c r="X24" i="15" l="1"/>
  <c r="X25" i="15" s="1"/>
  <c r="X50" i="15"/>
  <c r="X51" i="15" s="1"/>
  <c r="M50" i="15"/>
  <c r="M51" i="15" s="1"/>
  <c r="M24" i="15"/>
  <c r="M25" i="15" s="1"/>
  <c r="I23" i="15"/>
  <c r="L23" i="15" s="1"/>
  <c r="S22" i="15"/>
  <c r="AH22" i="15" s="1"/>
  <c r="AD22" i="15"/>
  <c r="AI22" i="15" s="1"/>
  <c r="S48" i="15"/>
  <c r="AH48" i="15" s="1"/>
  <c r="AD48" i="15"/>
  <c r="T42" i="6"/>
  <c r="Q49" i="15" s="1"/>
  <c r="T67" i="6"/>
  <c r="AB49" i="15" s="1"/>
  <c r="S67" i="6"/>
  <c r="Y68" i="6"/>
  <c r="Y69" i="6" s="1"/>
  <c r="V68" i="6"/>
  <c r="O68" i="6"/>
  <c r="R68" i="6"/>
  <c r="R69" i="6" s="1"/>
  <c r="W68" i="6"/>
  <c r="P68" i="6"/>
  <c r="X68" i="6"/>
  <c r="X69" i="6" s="1"/>
  <c r="Q68" i="6"/>
  <c r="Q69" i="6" s="1"/>
  <c r="AA68" i="6"/>
  <c r="Z68" i="6"/>
  <c r="AE41" i="6"/>
  <c r="AA43" i="6"/>
  <c r="W43" i="6"/>
  <c r="V43" i="6"/>
  <c r="Y43" i="6"/>
  <c r="Y44" i="6" s="1"/>
  <c r="Z43" i="6"/>
  <c r="X43" i="6"/>
  <c r="X44" i="6" s="1"/>
  <c r="AF66" i="6"/>
  <c r="AA23" i="15"/>
  <c r="AB67" i="6"/>
  <c r="AF41" i="6"/>
  <c r="P23" i="15"/>
  <c r="AB42" i="6"/>
  <c r="AE66" i="6"/>
  <c r="L67" i="6"/>
  <c r="U23" i="15"/>
  <c r="W23" i="15" s="1"/>
  <c r="AC42" i="6"/>
  <c r="P49" i="15" s="1"/>
  <c r="M42" i="6"/>
  <c r="S42" i="6"/>
  <c r="Q23" i="15" s="1"/>
  <c r="P43" i="6"/>
  <c r="Q43" i="6"/>
  <c r="Q44" i="6" s="1"/>
  <c r="O43" i="6"/>
  <c r="R43" i="6"/>
  <c r="R44" i="6" s="1"/>
  <c r="M67" i="6"/>
  <c r="K43" i="6"/>
  <c r="G43" i="6"/>
  <c r="I50" i="15" s="1"/>
  <c r="J43" i="6"/>
  <c r="F43" i="6"/>
  <c r="I24" i="15" s="1"/>
  <c r="H69" i="6"/>
  <c r="I69" i="6"/>
  <c r="H44" i="6"/>
  <c r="I44" i="6"/>
  <c r="L42" i="6"/>
  <c r="F68" i="6"/>
  <c r="U24" i="15" s="1"/>
  <c r="K68" i="6"/>
  <c r="G68" i="6"/>
  <c r="U50" i="15" s="1"/>
  <c r="J68" i="6"/>
  <c r="D44" i="6"/>
  <c r="C69" i="6"/>
  <c r="C44" i="6"/>
  <c r="D69" i="6"/>
  <c r="AC68" i="6" l="1"/>
  <c r="AA50" i="15" s="1"/>
  <c r="AA51" i="15" s="1"/>
  <c r="K44" i="6"/>
  <c r="N50" i="15"/>
  <c r="N51" i="15" s="1"/>
  <c r="J69" i="6"/>
  <c r="Y24" i="15"/>
  <c r="Y25" i="15" s="1"/>
  <c r="K69" i="6"/>
  <c r="Y50" i="15"/>
  <c r="Y51" i="15" s="1"/>
  <c r="J44" i="6"/>
  <c r="N24" i="15"/>
  <c r="N25" i="15" s="1"/>
  <c r="S23" i="15"/>
  <c r="AH23" i="15" s="1"/>
  <c r="S49" i="15"/>
  <c r="AH49" i="15" s="1"/>
  <c r="AD49" i="15"/>
  <c r="AE67" i="6"/>
  <c r="S68" i="6"/>
  <c r="AB24" i="15" s="1"/>
  <c r="AE42" i="6"/>
  <c r="O24" i="15"/>
  <c r="O25" i="15" s="1"/>
  <c r="Z44" i="6"/>
  <c r="Z24" i="15"/>
  <c r="Z25" i="15" s="1"/>
  <c r="Z69" i="6"/>
  <c r="AB68" i="6"/>
  <c r="AA24" i="15"/>
  <c r="AA25" i="15" s="1"/>
  <c r="V69" i="6"/>
  <c r="W69" i="6"/>
  <c r="W24" i="15"/>
  <c r="U25" i="15"/>
  <c r="L50" i="15"/>
  <c r="I51" i="15"/>
  <c r="Z50" i="15"/>
  <c r="Z51" i="15" s="1"/>
  <c r="AA69" i="6"/>
  <c r="AF42" i="6"/>
  <c r="P24" i="15"/>
  <c r="P25" i="15" s="1"/>
  <c r="AB43" i="6"/>
  <c r="V44" i="6"/>
  <c r="O69" i="6"/>
  <c r="L24" i="15"/>
  <c r="I25" i="15"/>
  <c r="AF67" i="6"/>
  <c r="AC43" i="6"/>
  <c r="W44" i="6"/>
  <c r="AB23" i="15"/>
  <c r="W50" i="15"/>
  <c r="U51" i="15"/>
  <c r="O50" i="15"/>
  <c r="O51" i="15" s="1"/>
  <c r="AA44" i="6"/>
  <c r="T68" i="6"/>
  <c r="AB50" i="15" s="1"/>
  <c r="AB51" i="15" s="1"/>
  <c r="P69" i="6"/>
  <c r="S43" i="6"/>
  <c r="O44" i="6"/>
  <c r="T43" i="6"/>
  <c r="P44" i="6"/>
  <c r="M68" i="6"/>
  <c r="M69" i="6" s="1"/>
  <c r="G69" i="6"/>
  <c r="L68" i="6"/>
  <c r="L69" i="6" s="1"/>
  <c r="F69" i="6"/>
  <c r="L43" i="6"/>
  <c r="L44" i="6" s="1"/>
  <c r="F44" i="6"/>
  <c r="M43" i="6"/>
  <c r="M44" i="6" s="1"/>
  <c r="G44" i="6"/>
  <c r="AC69" i="6"/>
  <c r="S69" i="6" l="1"/>
  <c r="AC44" i="6"/>
  <c r="P50" i="15"/>
  <c r="P51" i="15" s="1"/>
  <c r="Q50" i="15"/>
  <c r="Q51" i="15" s="1"/>
  <c r="T44" i="6"/>
  <c r="AD24" i="15"/>
  <c r="AD50" i="15"/>
  <c r="AD23" i="15"/>
  <c r="AI23" i="15" s="1"/>
  <c r="T69" i="6"/>
  <c r="L51" i="15"/>
  <c r="AE43" i="6"/>
  <c r="AB44" i="6"/>
  <c r="W25" i="15"/>
  <c r="S44" i="6"/>
  <c r="Q24" i="15"/>
  <c r="Q25" i="15" s="1"/>
  <c r="AE68" i="6"/>
  <c r="AE69" i="6" s="1"/>
  <c r="AB69" i="6"/>
  <c r="AF43" i="6"/>
  <c r="AB25" i="15"/>
  <c r="AF68" i="6"/>
  <c r="AF69" i="6" s="1"/>
  <c r="C17" i="8" s="1"/>
  <c r="W51" i="15"/>
  <c r="L25" i="15"/>
  <c r="B9" i="13"/>
  <c r="S50" i="15" l="1"/>
  <c r="AF44" i="6"/>
  <c r="C4" i="8" s="1"/>
  <c r="AD51" i="15"/>
  <c r="AI51" i="15" s="1"/>
  <c r="S24" i="15"/>
  <c r="AI24" i="15"/>
  <c r="AD25" i="15"/>
  <c r="AE44" i="6"/>
  <c r="AL78" i="14"/>
  <c r="AL98" i="14" s="1"/>
  <c r="Q98" i="14"/>
  <c r="S51" i="15" l="1"/>
  <c r="AH51" i="15" s="1"/>
  <c r="AH50" i="15"/>
  <c r="AH24" i="15"/>
  <c r="S25" i="15"/>
  <c r="C18" i="8"/>
  <c r="C6" i="8"/>
  <c r="Q125" i="14" l="1"/>
  <c r="C20" i="8" l="1"/>
  <c r="C24" i="8" s="1"/>
  <c r="C8" i="8"/>
  <c r="C12" i="8" s="1"/>
  <c r="G25" i="15"/>
  <c r="AI25" i="15" l="1"/>
  <c r="AH25" i="15"/>
  <c r="C13" i="8"/>
  <c r="C25" i="8"/>
</calcChain>
</file>

<file path=xl/sharedStrings.xml><?xml version="1.0" encoding="utf-8"?>
<sst xmlns="http://schemas.openxmlformats.org/spreadsheetml/2006/main" count="823" uniqueCount="410">
  <si>
    <t>Costs</t>
  </si>
  <si>
    <t xml:space="preserve">Assumptions </t>
  </si>
  <si>
    <t>Failure point of both docks = 2025 (do we include the rental fee for no-build 2024)</t>
  </si>
  <si>
    <t xml:space="preserve">CapEx -- need split </t>
  </si>
  <si>
    <t>OpEx begins</t>
  </si>
  <si>
    <t>Some will go by rail (Liquid) -- need %</t>
  </si>
  <si>
    <t>Rest will go by truck (Dry goods)</t>
  </si>
  <si>
    <t>Need miles of current distance by barge</t>
  </si>
  <si>
    <t xml:space="preserve">Benefits </t>
  </si>
  <si>
    <t>Need miles of new distance by rail</t>
  </si>
  <si>
    <t xml:space="preserve">Rail </t>
  </si>
  <si>
    <t xml:space="preserve">Need miles of new distance by truck </t>
  </si>
  <si>
    <t>Travel Time Savings</t>
  </si>
  <si>
    <t>Tons per rail car</t>
  </si>
  <si>
    <t>Fuel Savings</t>
  </si>
  <si>
    <t>34.15?</t>
  </si>
  <si>
    <t>Tons for truck</t>
  </si>
  <si>
    <t xml:space="preserve">Maintenance Savings </t>
  </si>
  <si>
    <t>Emissions Reductions</t>
  </si>
  <si>
    <t>Crash Reduction Benefits</t>
  </si>
  <si>
    <t>Truck</t>
  </si>
  <si>
    <t>Residual Value of Dock -- 20 years left at end of 30 year analysis period (50 year service life)</t>
  </si>
  <si>
    <t>Truck and Rail Diversion</t>
  </si>
  <si>
    <t>Discounted Benefits</t>
  </si>
  <si>
    <t>No-Build</t>
  </si>
  <si>
    <t>Truck Diversion (Dry Cargo)</t>
  </si>
  <si>
    <t>Rail Diversion (Dry Cargo)</t>
  </si>
  <si>
    <t>Barge (Liquid Cargo)</t>
  </si>
  <si>
    <t>Build</t>
  </si>
  <si>
    <t>Barge (Dry Cargo)</t>
  </si>
  <si>
    <t>Residual Value</t>
  </si>
  <si>
    <t>Discounted Costs</t>
  </si>
  <si>
    <t>Capital</t>
  </si>
  <si>
    <t>Total NPV</t>
  </si>
  <si>
    <t>Ratio</t>
  </si>
  <si>
    <t>Truck Only Diversion</t>
  </si>
  <si>
    <t>Summary by Benefit - Undiscounted</t>
  </si>
  <si>
    <t>Benefits for Liquid Barges and Cargo</t>
  </si>
  <si>
    <t>Benefits for Dry Barges and Cargo - 8.5% Rail and 91.5% Truck Diversion</t>
  </si>
  <si>
    <t>Benefits for Dry Barges and Cargo - 100% Truck Diversion</t>
  </si>
  <si>
    <t>Summary - Rail/Truck Diversion</t>
  </si>
  <si>
    <t>Summary - Truck-Only Diversion</t>
  </si>
  <si>
    <t>Year</t>
  </si>
  <si>
    <t>Supply Chain Savings</t>
  </si>
  <si>
    <t>Liquid Barge Depreciation Savings</t>
  </si>
  <si>
    <t>Total</t>
  </si>
  <si>
    <t>Truck Operating Costs</t>
  </si>
  <si>
    <t>Freight Train Operating Costs</t>
  </si>
  <si>
    <t>Barge Operating Costs</t>
  </si>
  <si>
    <t>Total Operating Cost Savings</t>
  </si>
  <si>
    <t>Safety Benefits</t>
  </si>
  <si>
    <t>External Highway Use Benefits</t>
  </si>
  <si>
    <t>Emissions Benefits</t>
  </si>
  <si>
    <t>OR</t>
  </si>
  <si>
    <t>Truck Operating Savings</t>
  </si>
  <si>
    <t>Summary by Benefit - Discounted</t>
  </si>
  <si>
    <t>Benefits for Liquid Barges and Cargo (NPV)</t>
  </si>
  <si>
    <t>Benefits for Dry Barges and Cargo - 8.5% Rail and 91.5% Truck Diversion (NPV)</t>
  </si>
  <si>
    <t>Benefits for Dry Barges and Cargo - 100% Truck Diversion (NPV)</t>
  </si>
  <si>
    <t>Residual Value (NPV)</t>
  </si>
  <si>
    <t>Summary - Rail/Truck Diversion (NPV)</t>
  </si>
  <si>
    <t>Summary - Truck-Only Diversion (NPV)</t>
  </si>
  <si>
    <t>Supply Chain Savings (NPV)</t>
  </si>
  <si>
    <t>Liquid Barge Depreciation Savings  (NPV)</t>
  </si>
  <si>
    <t>Total (NPV)</t>
  </si>
  <si>
    <t>Truck Operating Costs (NPV)</t>
  </si>
  <si>
    <t>Freight Train Operating Costs (NPV)</t>
  </si>
  <si>
    <t>Barge Operating Costs (NPV)</t>
  </si>
  <si>
    <t>Total Operating Cost Savings (NPV)</t>
  </si>
  <si>
    <t>Safety Benefits (NPV)</t>
  </si>
  <si>
    <t>External Highway Use Benefits (NPV)</t>
  </si>
  <si>
    <t>Emissions Benefits (NPV)</t>
  </si>
  <si>
    <t>Truck Operating Savings (NPV)</t>
  </si>
  <si>
    <t>NPV</t>
  </si>
  <si>
    <t>General</t>
  </si>
  <si>
    <t>Parameter</t>
  </si>
  <si>
    <t>Value</t>
  </si>
  <si>
    <t>Source</t>
  </si>
  <si>
    <t>Discount Rate</t>
  </si>
  <si>
    <t>USDOT BCA 2023 Guidance (Dec 2023)</t>
  </si>
  <si>
    <t>Discount Rate (Carbon Emissions)</t>
  </si>
  <si>
    <t>Average NC cost of diesel fuel (2021$, net of fuel taxes)</t>
  </si>
  <si>
    <t>https://www.eia.gov/dnav/pet/pet_pri_gnd_a_epd2d_pte_dpgal_a.htm. 2021 PADD 1C Diesel Price less 2021 state excise tax less 2021 federal excise tax</t>
  </si>
  <si>
    <t>Seconds to hours conversion</t>
  </si>
  <si>
    <t>Grams to metric tons conversion</t>
  </si>
  <si>
    <t>Kilograms to metric tons conversion</t>
  </si>
  <si>
    <t>US tons to metric tons conversion</t>
  </si>
  <si>
    <t>Multimodal -- Waterway Ton Diversion Percentages</t>
  </si>
  <si>
    <t>Dry Material Only</t>
  </si>
  <si>
    <t>Truck Only -- Waterway Ton Diversion Percentages</t>
  </si>
  <si>
    <t>Percent Rail</t>
  </si>
  <si>
    <t>Percent Truck</t>
  </si>
  <si>
    <t xml:space="preserve"> Routes (Roundtrip)</t>
  </si>
  <si>
    <t>Distance (miles)</t>
  </si>
  <si>
    <t>Time (minutes)</t>
  </si>
  <si>
    <t>Notes</t>
  </si>
  <si>
    <t>Rail (No-Build)</t>
  </si>
  <si>
    <t>FRA average speeds along assumed Norfolk Southern rail route to Port, with an additional 30 minutes switching per trip -- See technical memo</t>
  </si>
  <si>
    <t>Truck (No-Build)</t>
  </si>
  <si>
    <t>Travel time from Google Maps (see technical memo) with an additional 20 minutes entry/exit time per trip -- See technical memo</t>
  </si>
  <si>
    <t>Barge (Build)</t>
  </si>
  <si>
    <t>Data provided from current Port and PCP/Nutrien operations (57 nautical miles) -- See technical memo</t>
  </si>
  <si>
    <t>Safety</t>
  </si>
  <si>
    <t>Crash Type</t>
  </si>
  <si>
    <t>Monetized Value ($2022)</t>
  </si>
  <si>
    <t>PDO Crash</t>
  </si>
  <si>
    <t>USDOT BCA 2023 Guidance (Dec 2023), Table A-1</t>
  </si>
  <si>
    <t>Injury Crash</t>
  </si>
  <si>
    <t>Fatal Crash</t>
  </si>
  <si>
    <t>Source: USDOT BCA 2023 Guidance (Dec 2023), Table A-1</t>
  </si>
  <si>
    <t>Value of Reduced Fatalities and Injuries</t>
  </si>
  <si>
    <t>KABCO Level</t>
  </si>
  <si>
    <t>O - No Injury</t>
  </si>
  <si>
    <t>C - Possible Injury</t>
  </si>
  <si>
    <t>B - Non-incapacitating</t>
  </si>
  <si>
    <t>A - Incapacitating</t>
  </si>
  <si>
    <t>K - Killed</t>
  </si>
  <si>
    <t>U - Injured (Severity Unknown)</t>
  </si>
  <si>
    <t>Source: USDOT 2023 BCA Guidance</t>
  </si>
  <si>
    <t>Spillage</t>
  </si>
  <si>
    <t>Not currently using this data. Can be used if ratio seems low.</t>
  </si>
  <si>
    <t>Spillage Rate</t>
  </si>
  <si>
    <t>Barge</t>
  </si>
  <si>
    <t>Rail</t>
  </si>
  <si>
    <t>Gallons/million ton-mile</t>
  </si>
  <si>
    <t xml:space="preserve">This source is no longer available. A 2017 study from TAMU is available to reference with slightly lower numbers. </t>
  </si>
  <si>
    <t>Source: National Waterways Foundation, Waterways: Better for the Environment, Better for Communities - January 2022</t>
  </si>
  <si>
    <t>http://www.nationalwaterwaysfoundation.org/NWF_2110662_PowerPointPresentation_FINAL_Smlcompressed.pptx</t>
  </si>
  <si>
    <t>Net Present Value (NPV)</t>
  </si>
  <si>
    <t>Inflation Adjustment</t>
  </si>
  <si>
    <t>Base Year</t>
  </si>
  <si>
    <t>Multiplier</t>
  </si>
  <si>
    <t>Table A-7, 2023 BCA Guidance</t>
  </si>
  <si>
    <t>Total Project Cost</t>
  </si>
  <si>
    <t>PHOSPHORIC ACID TERMINAL BARGE DOCKS BULKHEAD REPLACEMENT</t>
  </si>
  <si>
    <t xml:space="preserve">Project Start </t>
  </si>
  <si>
    <t>PORT OF MOREHEAD CITY, NC</t>
  </si>
  <si>
    <t>First Full Operating Year</t>
  </si>
  <si>
    <t>OPINION OF PROBABLE CONSTRUCTION COST - 90% DESIGN</t>
  </si>
  <si>
    <t>Estimated Project Costs</t>
  </si>
  <si>
    <t>Common Work Items</t>
  </si>
  <si>
    <t>Percentage Budget Allocated</t>
  </si>
  <si>
    <t>Undiscounted Cost</t>
  </si>
  <si>
    <t>Item</t>
  </si>
  <si>
    <t>Name</t>
  </si>
  <si>
    <t>Unit</t>
  </si>
  <si>
    <t>Quantity</t>
  </si>
  <si>
    <t>Unit Cost</t>
  </si>
  <si>
    <t>Cost</t>
  </si>
  <si>
    <t>Furnish Steel Sheet Pile</t>
  </si>
  <si>
    <t>TON</t>
  </si>
  <si>
    <t>Install Steel Sheet Pile</t>
  </si>
  <si>
    <t>EA</t>
  </si>
  <si>
    <t>Flowable Fill</t>
  </si>
  <si>
    <t>CY</t>
  </si>
  <si>
    <t>Furnish and Install Concrete Cap</t>
  </si>
  <si>
    <t>Repair existing pile cap</t>
  </si>
  <si>
    <t>LF</t>
  </si>
  <si>
    <t>Remove and Reinstall UHMW-PE Fenders</t>
  </si>
  <si>
    <t>Replacement of NE Corner Wheel Fender Assembly</t>
  </si>
  <si>
    <t>LS</t>
  </si>
  <si>
    <t>Refurbish Existing Bollards</t>
  </si>
  <si>
    <t>Remove and Reinstall Bull Rail</t>
  </si>
  <si>
    <t>New Bull rail</t>
  </si>
  <si>
    <t>Furnish &amp; Install Soil Anchors</t>
  </si>
  <si>
    <t>Soil Anchor Testing</t>
  </si>
  <si>
    <t>Excavation &amp; Backfill</t>
  </si>
  <si>
    <t>Asphalt Paving/Patching</t>
  </si>
  <si>
    <t>SY</t>
  </si>
  <si>
    <t>Remove and Reinstall Riprap at NE Corner</t>
  </si>
  <si>
    <t>Furnish &amp; Install Riprap at SE Corner</t>
  </si>
  <si>
    <t>Furnish HP18 King Pile</t>
  </si>
  <si>
    <t>Install HP18 King Pile</t>
  </si>
  <si>
    <t>Furnish and Install PC Conc Panels</t>
  </si>
  <si>
    <t>Furnish &amp; Install Tie Rods at SE Corner</t>
  </si>
  <si>
    <t>Furnish &amp; Install Concrete Deadman and Tunnel Closure</t>
  </si>
  <si>
    <t>SE Corner Concrete Tunnel Demo</t>
  </si>
  <si>
    <t>Direct Total (includes Overhead and Profit)</t>
  </si>
  <si>
    <t>Project Total</t>
  </si>
  <si>
    <t>Mobilization</t>
  </si>
  <si>
    <t>%</t>
  </si>
  <si>
    <t>Contingency</t>
  </si>
  <si>
    <t xml:space="preserve">This OPCC is based on the project understanding and preliminary concept. It is our best effort to provide a fair and accurate approximation of the project cost. However, please note that market conditions, construction approach, and other factors may vary and affect the final cost of the project. Therefore, this opinion is not guaranteed and is subject to change as the design concept advances. </t>
  </si>
  <si>
    <t>Assumptions:</t>
  </si>
  <si>
    <t>It's assumed that the soldier pile wall option will be exercised for the Southeast Corner.</t>
  </si>
  <si>
    <t>Management reserve is not included.</t>
  </si>
  <si>
    <t>Final design, environmental review, construction supervision and administration costs are not included and will be provided by the Port.</t>
  </si>
  <si>
    <t>General - Barge</t>
  </si>
  <si>
    <t>Build Scenario - Reconstructed Dock Open, Benefits Start Date</t>
  </si>
  <si>
    <t>Operators per Barge Trip</t>
  </si>
  <si>
    <t>Port and PCP/Nutrien Data</t>
  </si>
  <si>
    <t>Hourly Locomotive Engineer Cost</t>
  </si>
  <si>
    <t>Assumed to account for 1 captain per crew</t>
  </si>
  <si>
    <t>Hourly Operator Cost</t>
  </si>
  <si>
    <t>Assumed to account for 5 crew members</t>
  </si>
  <si>
    <t>Barge Capacity (Metric Tons)</t>
  </si>
  <si>
    <t>Barge Trips per Month</t>
  </si>
  <si>
    <t>Miles Traveled per Year</t>
  </si>
  <si>
    <t>Annual Ton Miles</t>
  </si>
  <si>
    <t>Average Cargo Value per Metric Ton</t>
  </si>
  <si>
    <t>Port and PCP/Nutrien Data (Confidential, informed by key published actual values for P2O5)</t>
  </si>
  <si>
    <t>Interest Penalty on Liquid Cargo</t>
  </si>
  <si>
    <t>Emissions - Barge</t>
  </si>
  <si>
    <t>Microsoft Word - TREDIS6_Data_Sources_and_Default_Values.docx</t>
  </si>
  <si>
    <t>Used for g/VMT. Data values for 2021 data are applied to all years of the BCA analysis</t>
  </si>
  <si>
    <t>CO2 Emissions Calculation</t>
  </si>
  <si>
    <t>CO2 pounds per gallon consumed (Diesel)</t>
  </si>
  <si>
    <t>pounds to grams</t>
  </si>
  <si>
    <t>Assumed Barge Ton Miles per Gallon</t>
  </si>
  <si>
    <t>TTI 2022 FINAL Report 2001-2019 1.pdf (nationalwaterwaysfoundation.org)</t>
  </si>
  <si>
    <t>Barge Miles per Gallon (based on assumed Barge capacity and 3000 tons per trip)</t>
  </si>
  <si>
    <t>Gallons per mile</t>
  </si>
  <si>
    <t>CO2 grams per mile</t>
  </si>
  <si>
    <t>Emissions Savings Per Vehicle Mile Travelled (g/VMT)</t>
  </si>
  <si>
    <t>CO2</t>
  </si>
  <si>
    <t>NOX</t>
  </si>
  <si>
    <t>PM2.5</t>
  </si>
  <si>
    <t>SO2</t>
  </si>
  <si>
    <t>VOC</t>
  </si>
  <si>
    <t xml:space="preserve">Emissions Savings Per Mile (metric tons per vehicle VMT) </t>
  </si>
  <si>
    <t>Emissions values ($ per Metric ton)</t>
  </si>
  <si>
    <t>Source: TREDIS Data Sources and Default Values (2023); USDOT 2023 BCA Guidance</t>
  </si>
  <si>
    <t>Safety - Barge</t>
  </si>
  <si>
    <t>Internal ton-miles, Domestic Water Freight</t>
  </si>
  <si>
    <t>Fatalities</t>
  </si>
  <si>
    <t>Injuries</t>
  </si>
  <si>
    <t>No more recent safety data available</t>
  </si>
  <si>
    <t>Conservative Value, Assume Highest Occurance</t>
  </si>
  <si>
    <t>https://www.bts.gov/topics/national-transportation-statistics</t>
  </si>
  <si>
    <t>Appendix D, Water Transport Profile, Safety information for 2002-2006 was the most recent five years of data available.</t>
  </si>
  <si>
    <t>Inputs for Comparison</t>
  </si>
  <si>
    <t>Annual Berth 1 Maintenance Costs</t>
  </si>
  <si>
    <t>Calculated as a percentage of project maintenance costs proportional to size</t>
  </si>
  <si>
    <t>Increase in O&amp;M for Berth 1 (No Build)</t>
  </si>
  <si>
    <t xml:space="preserve">22 additional barges per month </t>
  </si>
  <si>
    <t>Annual Project Maintenance Costs (Build - Split Equally between Dry and Liquid Build Scenarios)</t>
  </si>
  <si>
    <t>Turnaround Delays (hours) (No Build)</t>
  </si>
  <si>
    <t>PCP/Nutrien Data</t>
  </si>
  <si>
    <t>Turnaround Delays (hours) (Build)</t>
  </si>
  <si>
    <t>Barge Useful Life in Years (No Build)</t>
  </si>
  <si>
    <t>Accounts for running barge pumps 6-9 additional hours per roundtrip to pump manifold</t>
  </si>
  <si>
    <t>Barge Useful Life in Years (Build)</t>
  </si>
  <si>
    <t>Barge Capital Cost</t>
  </si>
  <si>
    <t>Liquid Cargo Barge Count</t>
  </si>
  <si>
    <t>No-Build Scenario</t>
  </si>
  <si>
    <t>Barge Trips per Year</t>
  </si>
  <si>
    <t>HT</t>
  </si>
  <si>
    <t>MT</t>
  </si>
  <si>
    <t>Barge Personnel Costs</t>
  </si>
  <si>
    <t>Barge Personnel Costs (NPV)</t>
  </si>
  <si>
    <t>Dock Maintenance</t>
  </si>
  <si>
    <t>Dock Maintenance (NPV)</t>
  </si>
  <si>
    <t xml:space="preserve">Supply Chain </t>
  </si>
  <si>
    <t>Supply Chain (NPV)</t>
  </si>
  <si>
    <t>CO2 (NPV)</t>
  </si>
  <si>
    <t>NOX (NPV)</t>
  </si>
  <si>
    <t>PM2.5 (NPV)</t>
  </si>
  <si>
    <t>SO2 (NPV)</t>
  </si>
  <si>
    <t>Injury</t>
  </si>
  <si>
    <t>Injury (NPV)</t>
  </si>
  <si>
    <t>Fatality</t>
  </si>
  <si>
    <t>Fatality (NPV)</t>
  </si>
  <si>
    <t>Build Scenario</t>
  </si>
  <si>
    <t>Assumptions</t>
  </si>
  <si>
    <t>Roundtrip Distance by Truck (Miles)</t>
  </si>
  <si>
    <t>Truck Capacity (tons)</t>
  </si>
  <si>
    <t>Truck Trips (per week) - Assuming 8.5% Rail and 91.5% Truck Diversion</t>
  </si>
  <si>
    <t>Rounded down to indicate an inability to drive a percentage of a truck.</t>
  </si>
  <si>
    <t>Truck Trips (per week) - Assuming 100% Truck Diversion</t>
  </si>
  <si>
    <t>Operators per Truck</t>
  </si>
  <si>
    <t>Hourly Truck Operator Cost</t>
  </si>
  <si>
    <t>External Highway Use Costs</t>
  </si>
  <si>
    <t>Cost per VMT</t>
  </si>
  <si>
    <t>Congestion</t>
  </si>
  <si>
    <t>USDOT BCA 2023 Guidance (Dec 2023), Table A-14</t>
  </si>
  <si>
    <t>Noise</t>
  </si>
  <si>
    <t>Non-CO2 Emission</t>
  </si>
  <si>
    <t>CO2 Emission</t>
  </si>
  <si>
    <t>Truck Value per Mile</t>
  </si>
  <si>
    <t>USDOT BCA 2023 Guidance (Dec 2023), Table A-4, Includes the cost of fuel</t>
  </si>
  <si>
    <t xml:space="preserve">Roadway Maintenance </t>
  </si>
  <si>
    <t>FHWA Comprehensive Truck Size and Weight Study, updated; Bai, et al, Estimating Highway Pavement Costs Attributed to Truck Traffic, 2009.</t>
  </si>
  <si>
    <t>No-Build Scenario: 8.5% Rail and 91.5% Truck Diversion</t>
  </si>
  <si>
    <t>Truck Emission Costs</t>
  </si>
  <si>
    <t>VHT</t>
  </si>
  <si>
    <t>VMT</t>
  </si>
  <si>
    <t xml:space="preserve">Truck Operator Travel Time Savings </t>
  </si>
  <si>
    <t>Truck Operator Travel Time Savings (NPV)</t>
  </si>
  <si>
    <t>Roadway Maintenance</t>
  </si>
  <si>
    <t>Roadway Maintenance (NPV)</t>
  </si>
  <si>
    <t>Non-CO2</t>
  </si>
  <si>
    <t>Non-CO2 (NPV)</t>
  </si>
  <si>
    <t>Congestion (NPV)</t>
  </si>
  <si>
    <t>Noise (NPV)</t>
  </si>
  <si>
    <t>Safety (NPV)</t>
  </si>
  <si>
    <t>No-Build Scenario: 100% Truck Diversion</t>
  </si>
  <si>
    <t>Roundtrip Distance by Rail (Miles)</t>
  </si>
  <si>
    <t>Rail Trips per Week</t>
  </si>
  <si>
    <t>Railcars per Trip</t>
  </si>
  <si>
    <t>Railcar Capacity (Tons)</t>
  </si>
  <si>
    <t>Operators per Rail Trip</t>
  </si>
  <si>
    <t xml:space="preserve">Switching Time Per Trip (Minutes Idling) </t>
  </si>
  <si>
    <t>Average Rail Hauling Speed (MPH)</t>
  </si>
  <si>
    <t>Freight Train Crashes by Type</t>
  </si>
  <si>
    <t>Number</t>
  </si>
  <si>
    <t>Percent</t>
  </si>
  <si>
    <t>Injury Only</t>
  </si>
  <si>
    <t>Fatality Only</t>
  </si>
  <si>
    <t>Injury and Fatality</t>
  </si>
  <si>
    <t>Fatal (number of fatalities, not crashes with fatalities)</t>
  </si>
  <si>
    <t>BCA 2023 Guidance Updated</t>
  </si>
  <si>
    <t>Crashes</t>
  </si>
  <si>
    <t>Percentage</t>
  </si>
  <si>
    <t>Injury (number of injuries, not crashes with injuries)</t>
  </si>
  <si>
    <t>PDO (total number of crashes less crashes with a fatality or injury)</t>
  </si>
  <si>
    <t>N/A</t>
  </si>
  <si>
    <t>Weighted Cost per Crash</t>
  </si>
  <si>
    <t>Train Accidents by Type | FRA (dot.gov)</t>
  </si>
  <si>
    <t>Used detailed data table to pulled these figures.</t>
  </si>
  <si>
    <t>Crashes (2020)</t>
  </si>
  <si>
    <t>Train Miles (2020)</t>
  </si>
  <si>
    <t>table_rail_profile_103122.xlsx (live.com)</t>
  </si>
  <si>
    <t>Crash Rate per Mile</t>
  </si>
  <si>
    <t>Cost per Mile</t>
  </si>
  <si>
    <t>Freight Train</t>
  </si>
  <si>
    <t>Value per Hour</t>
  </si>
  <si>
    <t>Table A-5: Train Operating and Social Costs</t>
  </si>
  <si>
    <t>Idling (Switching Time)</t>
  </si>
  <si>
    <t>USDOT BCA Guidance (Dec 2023)</t>
  </si>
  <si>
    <t>Operating Costs</t>
  </si>
  <si>
    <t>Non-CO2 Emission Costs</t>
  </si>
  <si>
    <t>CO2 Costs</t>
  </si>
  <si>
    <t>Hauling</t>
  </si>
  <si>
    <t>Freight Railcar</t>
  </si>
  <si>
    <t>No-Build Scenario - 8.5% Rail Share</t>
  </si>
  <si>
    <t>Rail Operating Costs</t>
  </si>
  <si>
    <t>Rail Emission Costs</t>
  </si>
  <si>
    <t>Rail Safety Costs</t>
  </si>
  <si>
    <t>Trains per Year</t>
  </si>
  <si>
    <t>Annual Hours Idling</t>
  </si>
  <si>
    <t>Annual Hours Hauling</t>
  </si>
  <si>
    <t>Rail Miles Traveled</t>
  </si>
  <si>
    <t>PDO</t>
  </si>
  <si>
    <t>PDO (NPV)</t>
  </si>
  <si>
    <t>Roundtrip Distance by Barge (Miles)</t>
  </si>
  <si>
    <t>Current maritime route, see technical memo</t>
  </si>
  <si>
    <t>Assumed to reflect cost of maritime captain</t>
  </si>
  <si>
    <t xml:space="preserve">Assumed to reflect cost of maritime crew </t>
  </si>
  <si>
    <t>Barge Capacity (tons)</t>
  </si>
  <si>
    <t>Miles Travelled per Year</t>
  </si>
  <si>
    <t>Estimated for the project, see technical memo</t>
  </si>
  <si>
    <t>Dry Barge Count</t>
  </si>
  <si>
    <t>Inland Waterways</t>
  </si>
  <si>
    <t>Freight Barge, Tank Barge, and Tug/Towboat</t>
  </si>
  <si>
    <t>Safety Rates per ton-mile</t>
  </si>
  <si>
    <t>No-Build Diversion Start</t>
  </si>
  <si>
    <t>Vessel Depreciation</t>
  </si>
  <si>
    <t>Annual Berth Maintenance Costs</t>
  </si>
  <si>
    <t>Average Cargo Value per Ton</t>
  </si>
  <si>
    <t xml:space="preserve">What are Lidquid Bulk Transfer/Logistics Options? </t>
  </si>
  <si>
    <t>1. by truck following existing roadway network?</t>
  </si>
  <si>
    <t>No</t>
  </si>
  <si>
    <t>Why?</t>
  </si>
  <si>
    <t>2. by truck with new connections/access road and existing roadways?</t>
  </si>
  <si>
    <t>3. by new connecting rail, tie in existing rail system?</t>
  </si>
  <si>
    <t>4. new pipeline system?</t>
  </si>
  <si>
    <t>Yes</t>
  </si>
  <si>
    <t xml:space="preserve">closest tie-in points? </t>
  </si>
  <si>
    <t>306-33-submered segments?</t>
  </si>
  <si>
    <t>Right of way cost?</t>
  </si>
  <si>
    <t>Permiting cost?</t>
  </si>
  <si>
    <t xml:space="preserve">Capital cost breakout? </t>
  </si>
  <si>
    <t>w/ vs. wo scenarios:</t>
  </si>
  <si>
    <t>1. capital cost differences</t>
  </si>
  <si>
    <t>2. lost of business in it entirely? both Nutrien and Port</t>
  </si>
  <si>
    <t>3. lost of business by Port only? but Nutirien will fine new export terminal elsewhere?</t>
  </si>
  <si>
    <t xml:space="preserve">a. CAPEX and OPEX differences between w project and new export terminal options </t>
  </si>
  <si>
    <t xml:space="preserve">. where these terminals will be? </t>
  </si>
  <si>
    <t>. full opex and logistics cost to new location?</t>
  </si>
  <si>
    <t xml:space="preserve">4. lost of business if w/o the project - simplest </t>
  </si>
  <si>
    <t xml:space="preserve">Nutrien/PCP 20-Year Average Dry Material Tonnage </t>
  </si>
  <si>
    <t xml:space="preserve">Nutrien/PCP 20-Year Average Liquid Material Tonnage </t>
  </si>
  <si>
    <t>5-Year Average Port Vessel Count</t>
  </si>
  <si>
    <t>https://www.projectcargojournal.com/shipping/2023/09/13/multipurpose-vessel-rates-decline-eases-project-market-support-continues/</t>
  </si>
  <si>
    <t xml:space="preserve">Average Daily Cost of Ship Dwell Time (Daily Ship Charter Rate) </t>
  </si>
  <si>
    <t>Cost of Vessel Delay per Year</t>
  </si>
  <si>
    <t>Cost of Vessel Delay per Year (NPV)</t>
  </si>
  <si>
    <t>Avoided Vessel Congestion</t>
  </si>
  <si>
    <t>Avoided Vessel Congestion (NPV)</t>
  </si>
  <si>
    <t>Personnel Travel Time Savings</t>
  </si>
  <si>
    <t>Liquid Dock Maintenance Savings</t>
  </si>
  <si>
    <t>Liquid Dock Maintenance Savings (NPV)</t>
  </si>
  <si>
    <t>Dry Berth O&amp;M Costs</t>
  </si>
  <si>
    <t>Dry Berth O&amp;M Costs (NPV)</t>
  </si>
  <si>
    <t>Unloading Time/Truck (Hours)</t>
  </si>
  <si>
    <t>Trucks Trips per Year (One-Way)</t>
  </si>
  <si>
    <t>Only included for unloading time to avoid double counting with operating costs</t>
  </si>
  <si>
    <t>Train Personnel Costs for Unloading</t>
  </si>
  <si>
    <t>Train Personnel Costs for Unloading (NPV)</t>
  </si>
  <si>
    <t>Train Operating Costs (Includes Travel Time Savings for Labor)</t>
  </si>
  <si>
    <t>Train Operating Costs (Includes Travel Time Savings for Labor) (NPV)</t>
  </si>
  <si>
    <t>Unloading Time/Railcar (Hours)</t>
  </si>
  <si>
    <t>Barge Unloading Time (Hours)</t>
  </si>
  <si>
    <t>Personnel Time Savings (NPV)</t>
  </si>
  <si>
    <t>Total Berths for All Tenants</t>
  </si>
  <si>
    <t>North Carolina State Port Authority Data - Nutrien is the sole user of Berth 1 in the No-Build, but only loads export ships there in the Build</t>
  </si>
  <si>
    <t xml:space="preserve">North Carolina State Port Authority Data - Nutrien's vessels excluded to avoid double counting </t>
  </si>
  <si>
    <t>Assumed Vessel Dwell Time (No Build) (Days)</t>
  </si>
  <si>
    <t>Total Benefits (NPV)</t>
  </si>
  <si>
    <t>Unloading operations at Berth 1 take approximately 1 work day in the No-Build scenario (9 hours unloading, not accounting for navigation and berthing)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</si>
</sst>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0.000"/>
    <numFmt numFmtId="166" formatCode="&quot;$&quot;#,##0.00"/>
    <numFmt numFmtId="167" formatCode="0.0000"/>
    <numFmt numFmtId="168" formatCode="&quot;$&quot;#,##0"/>
    <numFmt numFmtId="169" formatCode="0.00000"/>
    <numFmt numFmtId="170" formatCode="0.0"/>
    <numFmt numFmtId="171" formatCode="_(* #,##0.000000000_);_(* \(#,##0.000000000\);_(* &quot;-&quot;??_);_(@_)"/>
    <numFmt numFmtId="172" formatCode="0.E+00"/>
    <numFmt numFmtId="173" formatCode="0.0%"/>
    <numFmt numFmtId="174" formatCode="0.00000000000000"/>
    <numFmt numFmtId="175" formatCode="0.000000000000"/>
    <numFmt numFmtId="176" formatCode="&quot;$&quot;#,##0.000"/>
    <numFmt numFmtId="177" formatCode="[$-409]mmmm\ d\,\ yyyy;@"/>
    <numFmt numFmtId="178" formatCode="_(&quot;$&quot;* #,##0_);_(&quot;$&quot;* \(#,##0\);_(&quot;$&quot;* &quot;-&quot;??_);_(@_)"/>
  </numFmts>
  <fonts count="30"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font>
    <font>
      <sz val="11"/>
      <color rgb="FF0000CC"/>
      <name val="Calibri"/>
      <family val="2"/>
    </font>
    <font>
      <u/>
      <sz val="11"/>
      <color rgb="FF0563C1"/>
      <name val="Calibri"/>
      <family val="2"/>
    </font>
    <font>
      <b/>
      <sz val="15"/>
      <color theme="3"/>
      <name val="Calibri"/>
      <family val="2"/>
      <scheme val="minor"/>
    </font>
    <font>
      <i/>
      <sz val="11"/>
      <color theme="1"/>
      <name val="Calibri"/>
      <family val="2"/>
      <scheme val="minor"/>
    </font>
    <font>
      <sz val="11"/>
      <color rgb="FF0000CC"/>
      <name val="Calibri"/>
      <family val="2"/>
      <scheme val="minor"/>
    </font>
    <font>
      <sz val="11"/>
      <color rgb="FF0000FF"/>
      <name val="Calibri"/>
      <family val="2"/>
      <scheme val="minor"/>
    </font>
    <font>
      <sz val="10"/>
      <name val="Arial"/>
      <family val="2"/>
    </font>
    <font>
      <u/>
      <sz val="11"/>
      <color rgb="FF0070C0"/>
      <name val="Calibri"/>
      <family val="2"/>
      <scheme val="minor"/>
    </font>
    <font>
      <sz val="11"/>
      <name val="Calibri"/>
      <family val="2"/>
      <scheme val="minor"/>
    </font>
    <font>
      <b/>
      <sz val="11"/>
      <color rgb="FF000000"/>
      <name val="Calibri"/>
      <family val="2"/>
    </font>
    <font>
      <b/>
      <sz val="11"/>
      <name val="Calibri"/>
      <family val="2"/>
      <scheme val="minor"/>
    </font>
    <font>
      <b/>
      <sz val="11"/>
      <color rgb="FF0000FF"/>
      <name val="Calibri"/>
      <family val="2"/>
      <scheme val="minor"/>
    </font>
    <font>
      <b/>
      <u/>
      <sz val="11"/>
      <color theme="1"/>
      <name val="Calibri"/>
      <family val="2"/>
      <scheme val="minor"/>
    </font>
    <font>
      <sz val="11"/>
      <name val="Calibri"/>
      <family val="2"/>
    </font>
    <font>
      <sz val="8"/>
      <name val="Calibri"/>
      <family val="2"/>
      <scheme val="minor"/>
    </font>
    <font>
      <b/>
      <sz val="14"/>
      <color theme="1"/>
      <name val="Arial"/>
      <family val="2"/>
    </font>
    <font>
      <b/>
      <sz val="11"/>
      <color theme="1"/>
      <name val="Arial"/>
      <family val="2"/>
    </font>
    <font>
      <sz val="11"/>
      <color theme="1"/>
      <name val="Arial"/>
      <family val="2"/>
    </font>
    <font>
      <sz val="11"/>
      <name val="Arial"/>
      <family val="2"/>
    </font>
    <font>
      <i/>
      <sz val="11"/>
      <color theme="1"/>
      <name val="Arial"/>
      <family val="2"/>
    </font>
    <font>
      <b/>
      <i/>
      <sz val="11"/>
      <color theme="1"/>
      <name val="Arial"/>
      <family val="2"/>
    </font>
    <font>
      <sz val="10"/>
      <color theme="1"/>
      <name val="Arial"/>
      <family val="2"/>
    </font>
    <font>
      <b/>
      <u/>
      <sz val="11"/>
      <color theme="1"/>
      <name val="Arial"/>
      <family val="2"/>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7" fillId="0" borderId="2" applyNumberFormat="0" applyFill="0" applyAlignment="0" applyProtection="0"/>
    <xf numFmtId="0" fontId="11" fillId="0" borderId="0"/>
  </cellStyleXfs>
  <cellXfs count="199">
    <xf numFmtId="0" fontId="0" fillId="0" borderId="0" xfId="0"/>
    <xf numFmtId="0" fontId="1" fillId="0" borderId="0" xfId="0" applyFont="1"/>
    <xf numFmtId="0" fontId="5" fillId="0" borderId="1" xfId="0" applyFont="1" applyBorder="1"/>
    <xf numFmtId="166" fontId="5" fillId="0" borderId="1" xfId="0" applyNumberFormat="1" applyFont="1" applyBorder="1"/>
    <xf numFmtId="0" fontId="8" fillId="0" borderId="0" xfId="0" applyFont="1"/>
    <xf numFmtId="0" fontId="0" fillId="0" borderId="1" xfId="0" applyBorder="1"/>
    <xf numFmtId="5" fontId="10" fillId="0" borderId="1" xfId="0" applyNumberFormat="1" applyFont="1" applyBorder="1"/>
    <xf numFmtId="0" fontId="0" fillId="0" borderId="0" xfId="0" applyAlignment="1">
      <alignment horizontal="center"/>
    </xf>
    <xf numFmtId="168" fontId="0" fillId="0" borderId="0" xfId="0" applyNumberFormat="1"/>
    <xf numFmtId="3" fontId="0" fillId="0" borderId="0" xfId="0" applyNumberFormat="1"/>
    <xf numFmtId="3" fontId="0" fillId="0" borderId="1" xfId="0" applyNumberFormat="1" applyBorder="1"/>
    <xf numFmtId="0" fontId="1" fillId="0" borderId="1" xfId="0" applyFont="1" applyBorder="1"/>
    <xf numFmtId="0" fontId="0" fillId="0" borderId="1" xfId="0"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168" fontId="0" fillId="0" borderId="1" xfId="0" applyNumberFormat="1" applyBorder="1"/>
    <xf numFmtId="168" fontId="10" fillId="0" borderId="1" xfId="0" applyNumberFormat="1" applyFont="1" applyBorder="1"/>
    <xf numFmtId="0" fontId="10" fillId="0" borderId="1" xfId="0" applyFont="1" applyBorder="1"/>
    <xf numFmtId="0" fontId="7" fillId="0" borderId="2" xfId="5"/>
    <xf numFmtId="169" fontId="0" fillId="0" borderId="1" xfId="0" applyNumberFormat="1" applyBorder="1"/>
    <xf numFmtId="0" fontId="0" fillId="0" borderId="4" xfId="0" applyBorder="1" applyAlignment="1">
      <alignment horizontal="left" vertical="top"/>
    </xf>
    <xf numFmtId="0" fontId="0" fillId="0" borderId="5" xfId="0" applyBorder="1" applyAlignment="1">
      <alignment horizontal="left" vertical="top"/>
    </xf>
    <xf numFmtId="49" fontId="1" fillId="2" borderId="1" xfId="0" applyNumberFormat="1" applyFont="1" applyFill="1" applyBorder="1" applyAlignment="1">
      <alignment horizontal="center" vertical="top"/>
    </xf>
    <xf numFmtId="2" fontId="10" fillId="0" borderId="1" xfId="0" applyNumberFormat="1" applyFont="1" applyBorder="1"/>
    <xf numFmtId="3" fontId="10" fillId="0" borderId="1" xfId="0" applyNumberFormat="1" applyFont="1" applyBorder="1"/>
    <xf numFmtId="0" fontId="13" fillId="0" borderId="0" xfId="0" applyFont="1"/>
    <xf numFmtId="0" fontId="3" fillId="0" borderId="0" xfId="3"/>
    <xf numFmtId="170" fontId="10" fillId="0" borderId="1" xfId="0" applyNumberFormat="1" applyFont="1" applyBorder="1"/>
    <xf numFmtId="170" fontId="10" fillId="0" borderId="0" xfId="0" applyNumberFormat="1" applyFont="1"/>
    <xf numFmtId="0" fontId="14" fillId="3" borderId="1" xfId="0" applyFont="1" applyFill="1" applyBorder="1" applyAlignment="1">
      <alignment horizontal="left" vertical="top"/>
    </xf>
    <xf numFmtId="0" fontId="4" fillId="0" borderId="1" xfId="0" applyFont="1" applyBorder="1"/>
    <xf numFmtId="164" fontId="4" fillId="0" borderId="1" xfId="1" applyNumberFormat="1" applyFont="1" applyFill="1" applyBorder="1"/>
    <xf numFmtId="0" fontId="4" fillId="0" borderId="1" xfId="0" applyFont="1" applyBorder="1" applyAlignment="1">
      <alignment wrapText="1"/>
    </xf>
    <xf numFmtId="0" fontId="6" fillId="0" borderId="1" xfId="3" applyFont="1" applyFill="1" applyBorder="1"/>
    <xf numFmtId="171" fontId="0" fillId="0" borderId="1" xfId="0" applyNumberFormat="1" applyBorder="1"/>
    <xf numFmtId="3" fontId="5" fillId="0" borderId="1" xfId="1" applyNumberFormat="1" applyFont="1" applyFill="1" applyBorder="1"/>
    <xf numFmtId="3" fontId="1" fillId="0" borderId="1" xfId="0" applyNumberFormat="1" applyFont="1" applyBorder="1"/>
    <xf numFmtId="3" fontId="1" fillId="0" borderId="0" xfId="0" applyNumberFormat="1" applyFont="1"/>
    <xf numFmtId="168" fontId="1" fillId="0" borderId="1" xfId="0" applyNumberFormat="1" applyFont="1" applyBorder="1"/>
    <xf numFmtId="168" fontId="1" fillId="0" borderId="0" xfId="0" applyNumberFormat="1" applyFont="1"/>
    <xf numFmtId="172" fontId="0" fillId="0" borderId="1" xfId="0" applyNumberFormat="1" applyBorder="1"/>
    <xf numFmtId="170" fontId="16" fillId="0" borderId="0" xfId="0" applyNumberFormat="1" applyFont="1"/>
    <xf numFmtId="0" fontId="3" fillId="0" borderId="1" xfId="3" applyBorder="1"/>
    <xf numFmtId="9" fontId="0" fillId="0" borderId="0" xfId="4" applyFont="1"/>
    <xf numFmtId="49" fontId="1" fillId="2" borderId="3"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0" fontId="13" fillId="0" borderId="1" xfId="0" applyFont="1" applyBorder="1"/>
    <xf numFmtId="2" fontId="13" fillId="0" borderId="1" xfId="0" applyNumberFormat="1" applyFont="1" applyBorder="1"/>
    <xf numFmtId="2" fontId="0" fillId="0" borderId="1" xfId="0" applyNumberFormat="1" applyBorder="1"/>
    <xf numFmtId="4" fontId="10" fillId="0" borderId="1" xfId="0" applyNumberFormat="1" applyFont="1" applyBorder="1"/>
    <xf numFmtId="9" fontId="0" fillId="0" borderId="1" xfId="4" applyFont="1" applyBorder="1"/>
    <xf numFmtId="173" fontId="10" fillId="0" borderId="1" xfId="4" applyNumberFormat="1" applyFont="1" applyBorder="1"/>
    <xf numFmtId="173" fontId="13" fillId="0" borderId="1" xfId="4" applyNumberFormat="1" applyFont="1" applyBorder="1"/>
    <xf numFmtId="170" fontId="13" fillId="0" borderId="0" xfId="0" applyNumberFormat="1" applyFont="1"/>
    <xf numFmtId="174" fontId="0" fillId="0" borderId="1" xfId="0" applyNumberFormat="1" applyBorder="1"/>
    <xf numFmtId="175" fontId="0" fillId="0" borderId="1" xfId="0" applyNumberFormat="1" applyBorder="1"/>
    <xf numFmtId="165" fontId="5" fillId="0" borderId="1" xfId="1" applyNumberFormat="1" applyFont="1" applyFill="1" applyBorder="1"/>
    <xf numFmtId="165" fontId="5" fillId="0" borderId="1" xfId="0" applyNumberFormat="1" applyFont="1" applyBorder="1"/>
    <xf numFmtId="0" fontId="1" fillId="2" borderId="1" xfId="0" applyFont="1" applyFill="1" applyBorder="1" applyAlignment="1">
      <alignment wrapText="1"/>
    </xf>
    <xf numFmtId="166" fontId="0" fillId="0" borderId="1" xfId="2" applyNumberFormat="1" applyFont="1" applyBorder="1"/>
    <xf numFmtId="166" fontId="0" fillId="0" borderId="0" xfId="0" applyNumberFormat="1"/>
    <xf numFmtId="173" fontId="16" fillId="2" borderId="1" xfId="0" applyNumberFormat="1" applyFont="1" applyFill="1" applyBorder="1" applyAlignment="1">
      <alignment horizontal="center"/>
    </xf>
    <xf numFmtId="176" fontId="10" fillId="0" borderId="1" xfId="2" applyNumberFormat="1" applyFont="1" applyBorder="1"/>
    <xf numFmtId="0" fontId="4" fillId="0" borderId="1" xfId="1" applyNumberFormat="1" applyFont="1" applyFill="1" applyBorder="1"/>
    <xf numFmtId="9" fontId="10" fillId="0" borderId="1" xfId="4" applyFont="1" applyBorder="1"/>
    <xf numFmtId="9" fontId="1" fillId="0" borderId="1" xfId="0" applyNumberFormat="1" applyFont="1" applyBorder="1"/>
    <xf numFmtId="0" fontId="0" fillId="0" borderId="1" xfId="0" applyBorder="1" applyAlignment="1">
      <alignment horizontal="left"/>
    </xf>
    <xf numFmtId="0" fontId="17" fillId="0" borderId="0" xfId="0" applyFont="1"/>
    <xf numFmtId="167" fontId="9" fillId="0" borderId="0" xfId="0" applyNumberFormat="1" applyFont="1"/>
    <xf numFmtId="0" fontId="10" fillId="0" borderId="0" xfId="0" applyFont="1"/>
    <xf numFmtId="0" fontId="0" fillId="0" borderId="0" xfId="0" applyAlignment="1">
      <alignment horizontal="left" indent="1"/>
    </xf>
    <xf numFmtId="0" fontId="0" fillId="0" borderId="1" xfId="0" applyBorder="1" applyAlignment="1">
      <alignment horizontal="left" indent="1"/>
    </xf>
    <xf numFmtId="166" fontId="10" fillId="0" borderId="1" xfId="0" applyNumberFormat="1" applyFont="1" applyBorder="1"/>
    <xf numFmtId="0" fontId="0" fillId="0" borderId="0" xfId="0" applyAlignment="1">
      <alignment wrapText="1"/>
    </xf>
    <xf numFmtId="176" fontId="5" fillId="0" borderId="1" xfId="0" applyNumberFormat="1" applyFont="1" applyBorder="1"/>
    <xf numFmtId="168" fontId="10" fillId="0" borderId="0" xfId="0" applyNumberFormat="1" applyFont="1"/>
    <xf numFmtId="0" fontId="4" fillId="0" borderId="0" xfId="0" applyFont="1" applyAlignment="1">
      <alignment wrapText="1"/>
    </xf>
    <xf numFmtId="4" fontId="5" fillId="0" borderId="0" xfId="0" applyNumberFormat="1" applyFont="1"/>
    <xf numFmtId="4" fontId="5" fillId="0" borderId="1" xfId="0" applyNumberFormat="1" applyFont="1" applyBorder="1"/>
    <xf numFmtId="166" fontId="10" fillId="0" borderId="0" xfId="0" applyNumberFormat="1" applyFont="1"/>
    <xf numFmtId="168" fontId="13" fillId="0" borderId="1" xfId="2" applyNumberFormat="1" applyFont="1" applyBorder="1"/>
    <xf numFmtId="9" fontId="1" fillId="0" borderId="1" xfId="4" applyFont="1" applyBorder="1"/>
    <xf numFmtId="9" fontId="1" fillId="0" borderId="0" xfId="4" applyFont="1"/>
    <xf numFmtId="0" fontId="0" fillId="0" borderId="13" xfId="0" applyBorder="1"/>
    <xf numFmtId="3" fontId="0" fillId="0" borderId="13" xfId="0" applyNumberFormat="1" applyBorder="1"/>
    <xf numFmtId="168" fontId="0" fillId="0" borderId="13" xfId="0" applyNumberFormat="1" applyBorder="1"/>
    <xf numFmtId="0" fontId="0" fillId="0" borderId="1" xfId="0" applyBorder="1" applyAlignment="1">
      <alignment wrapText="1"/>
    </xf>
    <xf numFmtId="0" fontId="1" fillId="0" borderId="1" xfId="0" applyFont="1" applyBorder="1" applyAlignment="1">
      <alignment horizontal="right"/>
    </xf>
    <xf numFmtId="4" fontId="18" fillId="0" borderId="0" xfId="0" applyNumberFormat="1" applyFont="1"/>
    <xf numFmtId="44" fontId="0" fillId="0" borderId="0" xfId="2" applyFont="1"/>
    <xf numFmtId="4" fontId="0" fillId="0" borderId="1" xfId="0" applyNumberFormat="1" applyBorder="1"/>
    <xf numFmtId="164" fontId="3" fillId="0" borderId="1" xfId="3" quotePrefix="1" applyNumberFormat="1" applyFill="1" applyBorder="1"/>
    <xf numFmtId="0" fontId="22" fillId="0" borderId="1" xfId="0" applyFont="1" applyBorder="1" applyAlignment="1">
      <alignment horizontal="center"/>
    </xf>
    <xf numFmtId="0" fontId="22" fillId="0" borderId="1" xfId="0" applyFont="1" applyBorder="1"/>
    <xf numFmtId="0" fontId="23" fillId="0" borderId="1" xfId="0" applyFont="1" applyBorder="1" applyAlignment="1">
      <alignment horizontal="center"/>
    </xf>
    <xf numFmtId="0" fontId="23" fillId="0" borderId="1" xfId="0" applyFont="1" applyBorder="1"/>
    <xf numFmtId="178" fontId="23" fillId="0" borderId="1" xfId="2" applyNumberFormat="1" applyFont="1" applyFill="1" applyBorder="1" applyAlignment="1">
      <alignment horizontal="center"/>
    </xf>
    <xf numFmtId="178" fontId="22" fillId="0" borderId="1" xfId="2" applyNumberFormat="1" applyFont="1" applyBorder="1" applyAlignment="1">
      <alignment horizontal="center"/>
    </xf>
    <xf numFmtId="0" fontId="23" fillId="0" borderId="14" xfId="0" applyFont="1" applyBorder="1" applyAlignment="1">
      <alignment horizontal="center"/>
    </xf>
    <xf numFmtId="178" fontId="23" fillId="0" borderId="14" xfId="2" applyNumberFormat="1" applyFont="1" applyFill="1" applyBorder="1" applyAlignment="1">
      <alignment horizontal="center"/>
    </xf>
    <xf numFmtId="178" fontId="22" fillId="0" borderId="14" xfId="2" applyNumberFormat="1" applyFont="1" applyBorder="1" applyAlignment="1">
      <alignment horizontal="center"/>
    </xf>
    <xf numFmtId="0" fontId="23" fillId="0" borderId="14" xfId="0" applyFont="1" applyBorder="1"/>
    <xf numFmtId="0" fontId="24" fillId="0" borderId="13" xfId="0" applyFont="1" applyBorder="1"/>
    <xf numFmtId="178" fontId="22" fillId="0" borderId="1" xfId="2" applyNumberFormat="1" applyFont="1" applyBorder="1"/>
    <xf numFmtId="0" fontId="22" fillId="0" borderId="13" xfId="0" applyFont="1" applyBorder="1" applyAlignment="1">
      <alignment horizontal="center"/>
    </xf>
    <xf numFmtId="0" fontId="22" fillId="0" borderId="13" xfId="0" applyFont="1" applyBorder="1"/>
    <xf numFmtId="44" fontId="22" fillId="0" borderId="13" xfId="2" applyFont="1" applyBorder="1"/>
    <xf numFmtId="9" fontId="22" fillId="0" borderId="1" xfId="4" applyFont="1" applyBorder="1" applyAlignment="1">
      <alignment horizontal="center"/>
    </xf>
    <xf numFmtId="44" fontId="22" fillId="0" borderId="1" xfId="2" applyFont="1" applyBorder="1"/>
    <xf numFmtId="0" fontId="25" fillId="0" borderId="13" xfId="0" applyFont="1" applyBorder="1"/>
    <xf numFmtId="0" fontId="21" fillId="0" borderId="13" xfId="0" applyFont="1" applyBorder="1" applyAlignment="1">
      <alignment horizontal="center"/>
    </xf>
    <xf numFmtId="44" fontId="21" fillId="0" borderId="13" xfId="2" applyFont="1" applyBorder="1"/>
    <xf numFmtId="0" fontId="24" fillId="0" borderId="13" xfId="0" applyFont="1" applyBorder="1" applyAlignment="1">
      <alignment horizontal="left" indent="2"/>
    </xf>
    <xf numFmtId="0" fontId="22" fillId="0" borderId="0" xfId="0" applyFont="1" applyAlignment="1">
      <alignment horizontal="center"/>
    </xf>
    <xf numFmtId="0" fontId="22" fillId="0" borderId="0" xfId="0" applyFont="1"/>
    <xf numFmtId="0" fontId="27" fillId="0" borderId="0" xfId="0" applyFont="1" applyAlignment="1">
      <alignment horizontal="left"/>
    </xf>
    <xf numFmtId="0" fontId="1" fillId="2" borderId="7" xfId="0" applyFont="1" applyFill="1" applyBorder="1" applyAlignment="1">
      <alignment horizontal="center"/>
    </xf>
    <xf numFmtId="0" fontId="0" fillId="0" borderId="8" xfId="0" applyBorder="1" applyAlignment="1">
      <alignment horizontal="left"/>
    </xf>
    <xf numFmtId="0" fontId="0" fillId="0" borderId="9" xfId="0" applyBorder="1" applyAlignment="1">
      <alignment horizontal="right"/>
    </xf>
    <xf numFmtId="5" fontId="0" fillId="0" borderId="9" xfId="0" applyNumberFormat="1" applyBorder="1" applyAlignment="1">
      <alignment horizontal="right"/>
    </xf>
    <xf numFmtId="2" fontId="1" fillId="0" borderId="10" xfId="0" applyNumberFormat="1" applyFont="1" applyBorder="1" applyAlignment="1">
      <alignment horizontal="right"/>
    </xf>
    <xf numFmtId="0" fontId="0" fillId="0" borderId="0" xfId="0" applyAlignment="1">
      <alignment horizontal="left"/>
    </xf>
    <xf numFmtId="0" fontId="0" fillId="0" borderId="14" xfId="0" applyBorder="1"/>
    <xf numFmtId="3" fontId="10" fillId="0" borderId="14" xfId="0" applyNumberFormat="1" applyFont="1" applyBorder="1"/>
    <xf numFmtId="9" fontId="10" fillId="0" borderId="0" xfId="4" applyFont="1" applyBorder="1"/>
    <xf numFmtId="9" fontId="10" fillId="0" borderId="1" xfId="4" applyFont="1" applyFill="1" applyBorder="1"/>
    <xf numFmtId="0" fontId="29" fillId="0" borderId="0" xfId="0" applyFont="1"/>
    <xf numFmtId="0" fontId="28" fillId="0" borderId="0" xfId="0" applyFont="1"/>
    <xf numFmtId="168" fontId="28" fillId="0" borderId="0" xfId="0" applyNumberFormat="1" applyFont="1"/>
    <xf numFmtId="0" fontId="0" fillId="0" borderId="0" xfId="0" applyAlignment="1">
      <alignment horizontal="center" wrapText="1"/>
    </xf>
    <xf numFmtId="0" fontId="15" fillId="2" borderId="1" xfId="0" applyFont="1" applyFill="1" applyBorder="1" applyAlignment="1">
      <alignment horizontal="center" wrapText="1"/>
    </xf>
    <xf numFmtId="9" fontId="0" fillId="0" borderId="0" xfId="4" applyFont="1" applyBorder="1"/>
    <xf numFmtId="0" fontId="1" fillId="2" borderId="1" xfId="0" applyFont="1" applyFill="1" applyBorder="1" applyAlignment="1">
      <alignment horizontal="right" wrapText="1"/>
    </xf>
    <xf numFmtId="6" fontId="10" fillId="0" borderId="1" xfId="4" applyNumberFormat="1" applyFont="1" applyFill="1" applyBorder="1"/>
    <xf numFmtId="49" fontId="15" fillId="2" borderId="3" xfId="0" applyNumberFormat="1" applyFont="1" applyFill="1" applyBorder="1" applyAlignment="1">
      <alignment horizontal="center" vertical="top" wrapText="1"/>
    </xf>
    <xf numFmtId="0" fontId="1" fillId="0" borderId="0" xfId="0" applyFont="1" applyAlignment="1">
      <alignment horizontal="center" wrapText="1"/>
    </xf>
    <xf numFmtId="0" fontId="1" fillId="0" borderId="0" xfId="0" applyFont="1" applyAlignment="1">
      <alignment wrapText="1"/>
    </xf>
    <xf numFmtId="6" fontId="0" fillId="0" borderId="1" xfId="0" applyNumberFormat="1" applyBorder="1"/>
    <xf numFmtId="6" fontId="1" fillId="0" borderId="1" xfId="0" applyNumberFormat="1" applyFont="1" applyBorder="1"/>
    <xf numFmtId="0" fontId="28" fillId="0" borderId="0" xfId="0" applyFont="1" applyAlignment="1">
      <alignment horizontal="center" wrapText="1"/>
    </xf>
    <xf numFmtId="0" fontId="0" fillId="2" borderId="1" xfId="0" applyFill="1" applyBorder="1" applyAlignment="1">
      <alignment horizontal="center" wrapText="1"/>
    </xf>
    <xf numFmtId="0" fontId="1" fillId="0" borderId="24" xfId="0" applyFont="1" applyBorder="1" applyAlignment="1">
      <alignment horizontal="left"/>
    </xf>
    <xf numFmtId="0" fontId="1" fillId="0" borderId="23" xfId="0" applyFont="1" applyBorder="1" applyAlignment="1">
      <alignment horizontal="left"/>
    </xf>
    <xf numFmtId="5" fontId="1" fillId="0" borderId="25" xfId="0" applyNumberFormat="1" applyFont="1" applyBorder="1" applyAlignment="1">
      <alignment horizontal="right"/>
    </xf>
    <xf numFmtId="44" fontId="0" fillId="0" borderId="0" xfId="0" applyNumberFormat="1"/>
    <xf numFmtId="44" fontId="1" fillId="0" borderId="0" xfId="0" applyNumberFormat="1" applyFont="1"/>
    <xf numFmtId="168" fontId="1" fillId="0" borderId="6" xfId="0" applyNumberFormat="1" applyFont="1" applyBorder="1"/>
    <xf numFmtId="168" fontId="1" fillId="0" borderId="12" xfId="0" applyNumberFormat="1" applyFont="1" applyBorder="1"/>
    <xf numFmtId="5" fontId="0" fillId="0" borderId="0" xfId="0" applyNumberFormat="1" applyAlignment="1">
      <alignment horizontal="right"/>
    </xf>
    <xf numFmtId="178" fontId="0" fillId="0" borderId="0" xfId="0" applyNumberFormat="1" applyAlignment="1">
      <alignment horizontal="right"/>
    </xf>
    <xf numFmtId="0" fontId="0" fillId="0" borderId="0" xfId="0" applyAlignment="1">
      <alignment horizontal="right"/>
    </xf>
    <xf numFmtId="5" fontId="1" fillId="0" borderId="0" xfId="0" applyNumberFormat="1" applyFont="1" applyAlignment="1">
      <alignment horizontal="right"/>
    </xf>
    <xf numFmtId="2" fontId="1" fillId="0" borderId="0" xfId="0" applyNumberFormat="1" applyFont="1" applyAlignment="1">
      <alignment horizontal="right"/>
    </xf>
    <xf numFmtId="6" fontId="0" fillId="0" borderId="0" xfId="0" applyNumberFormat="1"/>
    <xf numFmtId="9" fontId="5" fillId="0" borderId="1" xfId="4" applyFont="1" applyBorder="1"/>
    <xf numFmtId="6" fontId="10" fillId="0" borderId="1" xfId="0" applyNumberFormat="1" applyFont="1" applyBorder="1"/>
    <xf numFmtId="0" fontId="1" fillId="2" borderId="7" xfId="0" applyFont="1" applyFill="1" applyBorder="1" applyAlignment="1">
      <alignment horizontal="center" wrapText="1"/>
    </xf>
    <xf numFmtId="5" fontId="0" fillId="0" borderId="0" xfId="0" applyNumberFormat="1"/>
    <xf numFmtId="2" fontId="5" fillId="0" borderId="1" xfId="0" applyNumberFormat="1" applyFont="1" applyBorder="1"/>
    <xf numFmtId="40" fontId="0" fillId="0" borderId="0" xfId="0" applyNumberFormat="1"/>
    <xf numFmtId="0" fontId="1" fillId="0" borderId="4" xfId="0" applyFont="1" applyBorder="1" applyAlignment="1">
      <alignment horizontal="left"/>
    </xf>
    <xf numFmtId="0" fontId="1" fillId="0" borderId="12" xfId="0" applyFont="1" applyBorder="1" applyAlignment="1">
      <alignment horizontal="left"/>
    </xf>
    <xf numFmtId="0" fontId="1" fillId="0" borderId="5" xfId="0" applyFont="1" applyBorder="1" applyAlignment="1">
      <alignment horizontal="left"/>
    </xf>
    <xf numFmtId="0" fontId="1" fillId="0" borderId="17" xfId="0" applyFont="1" applyBorder="1" applyAlignment="1">
      <alignment horizontal="left"/>
    </xf>
    <xf numFmtId="0" fontId="1" fillId="2" borderId="3" xfId="0" applyFont="1" applyFill="1" applyBorder="1" applyAlignment="1">
      <alignment horizontal="center"/>
    </xf>
    <xf numFmtId="0" fontId="1" fillId="2" borderId="16" xfId="0" applyFont="1" applyFill="1" applyBorder="1" applyAlignment="1">
      <alignment horizontal="center"/>
    </xf>
    <xf numFmtId="2" fontId="1" fillId="0" borderId="4" xfId="0" applyNumberFormat="1" applyFont="1" applyBorder="1" applyAlignment="1">
      <alignment horizontal="left"/>
    </xf>
    <xf numFmtId="2" fontId="1" fillId="0" borderId="12" xfId="0" applyNumberFormat="1" applyFont="1" applyBorder="1" applyAlignment="1">
      <alignment horizontal="left"/>
    </xf>
    <xf numFmtId="0" fontId="1"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2" fillId="0" borderId="6" xfId="0" applyFont="1" applyBorder="1"/>
    <xf numFmtId="0" fontId="12" fillId="0" borderId="11" xfId="0" applyFont="1" applyBorder="1"/>
    <xf numFmtId="0" fontId="12" fillId="0" borderId="12" xfId="0" applyFont="1" applyBorder="1"/>
    <xf numFmtId="0" fontId="1" fillId="0" borderId="21" xfId="0" applyFont="1" applyBorder="1"/>
    <xf numFmtId="0" fontId="1" fillId="0" borderId="22" xfId="0" applyFont="1" applyBorder="1"/>
    <xf numFmtId="0" fontId="1" fillId="0" borderId="23" xfId="0" applyFont="1" applyBorder="1"/>
    <xf numFmtId="0" fontId="1" fillId="0" borderId="19" xfId="0" applyFont="1" applyBorder="1"/>
    <xf numFmtId="0" fontId="1" fillId="0" borderId="20" xfId="0" applyFont="1" applyBorder="1"/>
    <xf numFmtId="0" fontId="1" fillId="0" borderId="18" xfId="0" applyFont="1" applyBorder="1"/>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2" borderId="1" xfId="0" applyFont="1" applyFill="1" applyBorder="1" applyAlignment="1">
      <alignment horizontal="left"/>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1" xfId="0" applyBorder="1" applyAlignment="1">
      <alignment horizontal="left" wrapText="1"/>
    </xf>
    <xf numFmtId="0" fontId="20" fillId="0" borderId="1" xfId="0" applyFont="1" applyBorder="1" applyAlignment="1">
      <alignment horizontal="center"/>
    </xf>
    <xf numFmtId="177" fontId="20" fillId="0" borderId="1" xfId="0" applyNumberFormat="1" applyFont="1" applyBorder="1" applyAlignment="1">
      <alignment horizontal="center"/>
    </xf>
    <xf numFmtId="0" fontId="21" fillId="2" borderId="1" xfId="0" applyFont="1" applyFill="1" applyBorder="1" applyAlignment="1">
      <alignment horizontal="center"/>
    </xf>
    <xf numFmtId="0" fontId="22" fillId="0" borderId="1" xfId="0" applyFont="1" applyBorder="1" applyAlignment="1">
      <alignment horizontal="center"/>
    </xf>
    <xf numFmtId="0" fontId="21" fillId="2" borderId="15" xfId="0" applyFont="1" applyFill="1" applyBorder="1" applyAlignment="1">
      <alignment horizontal="center"/>
    </xf>
    <xf numFmtId="0" fontId="26" fillId="0" borderId="1" xfId="0" applyFont="1" applyBorder="1" applyAlignment="1">
      <alignment horizontal="left" vertical="top" wrapText="1"/>
    </xf>
    <xf numFmtId="0" fontId="1" fillId="0" borderId="1" xfId="0" applyFont="1" applyBorder="1"/>
    <xf numFmtId="0" fontId="0" fillId="0" borderId="0" xfId="0"/>
    <xf numFmtId="0" fontId="10" fillId="0" borderId="0" xfId="0" applyFont="1"/>
    <xf numFmtId="0" fontId="12" fillId="0" borderId="1" xfId="0" applyFont="1" applyBorder="1"/>
  </cellXfs>
  <cellStyles count="7">
    <cellStyle name="Comma" xfId="1" builtinId="3"/>
    <cellStyle name="Currency" xfId="2" builtinId="4"/>
    <cellStyle name="Heading 1" xfId="5" builtinId="16"/>
    <cellStyle name="Hyperlink" xfId="3" builtinId="8"/>
    <cellStyle name="Normal" xfId="0" builtinId="0"/>
    <cellStyle name="Normal 16" xfId="6" xr:uid="{58667606-3652-4BF5-BD7F-09E8FD48F54D}"/>
    <cellStyle name="Percent" xfId="4" builtin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tredis.com/pdf/User_Docs/TREDIS6_Data_Sources_and_Default_Values.pdf" TargetMode="External"/><Relationship Id="rId2" Type="http://schemas.openxmlformats.org/officeDocument/2006/relationships/hyperlink" Target="https://www.tredis.com/pdf/User_Docs/TREDIS6_Data_Sources_and_Default_Values.pdf" TargetMode="External"/><Relationship Id="rId1" Type="http://schemas.openxmlformats.org/officeDocument/2006/relationships/hyperlink" Target="https://www.bts.gov/topics/national-transportation-statistics" TargetMode="External"/><Relationship Id="rId4" Type="http://schemas.openxmlformats.org/officeDocument/2006/relationships/hyperlink" Target="https://nationalwaterwaysfoundation.org/file/28/TTI%202022%20FINAL%20Report%202001-2019%2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edis.com/pdf/User_Docs/TREDIS6_Data_Sources_and_Default_Values.pdf" TargetMode="External"/><Relationship Id="rId2" Type="http://schemas.openxmlformats.org/officeDocument/2006/relationships/hyperlink" Target="https://www.tredis.com/pdf/User_Docs/TREDIS6_Data_Sources_and_Default_Values.pdf" TargetMode="External"/><Relationship Id="rId1" Type="http://schemas.openxmlformats.org/officeDocument/2006/relationships/hyperlink" Target="https://www.bts.gov/topics/national-transportation-statistics" TargetMode="External"/><Relationship Id="rId4" Type="http://schemas.openxmlformats.org/officeDocument/2006/relationships/hyperlink" Target="https://nationalwaterwaysfoundation.org/file/28/TTI%202022%20FINAL%20Report%202001-2019%201.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eia.gov/dnav/pet/pet_pri_gnd_a_epd2d_pte_dpgal_a.htm.%202021%20PADD%201C%20Diesel%20Price%20less%202021%20state%20excise%20tax%20less%202021%20federal%20excise%20tax" TargetMode="External"/><Relationship Id="rId1" Type="http://schemas.openxmlformats.org/officeDocument/2006/relationships/hyperlink" Target="http://www.nationalwaterwaysfoundation.org/NWF_2110662_PowerPointPresentation_FINAL_Smlcompressed.ppt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redis.com/pdf/User_Docs/TREDIS6_Data_Sources_and_Default_Values.pdf" TargetMode="External"/><Relationship Id="rId2" Type="http://schemas.openxmlformats.org/officeDocument/2006/relationships/hyperlink" Target="https://www.tredis.com/pdf/User_Docs/TREDIS6_Data_Sources_and_Default_Values.pdf" TargetMode="External"/><Relationship Id="rId1" Type="http://schemas.openxmlformats.org/officeDocument/2006/relationships/hyperlink" Target="https://www.bts.gov/topics/national-transportation-statistics" TargetMode="External"/><Relationship Id="rId4" Type="http://schemas.openxmlformats.org/officeDocument/2006/relationships/hyperlink" Target="https://nationalwaterwaysfoundation.org/file/28/TTI%202022%20FINAL%20Report%202001-2019%201.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railroads.dot.gov/accident-and-incident-reporting/train-accident-reports/train-accidents-type" TargetMode="External"/><Relationship Id="rId2" Type="http://schemas.openxmlformats.org/officeDocument/2006/relationships/hyperlink" Target="https://view.officeapps.live.com/op/view.aspx?src=https%3A%2F%2Fwww.bts.gov%2Fsites%2Fbts.dot.gov%2Ffiles%2F2022-10%2Ftable_rail_profile_103122.xlsx&amp;wdOrigin=BROWSELINK" TargetMode="External"/><Relationship Id="rId1" Type="http://schemas.openxmlformats.org/officeDocument/2006/relationships/hyperlink" Target="https://railroads.dot.gov/accident-and-incident-reporting/train-accident-reports/train-accidents-type" TargetMode="External"/><Relationship Id="rId4" Type="http://schemas.openxmlformats.org/officeDocument/2006/relationships/hyperlink" Target="mailto: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N20"/>
  <sheetViews>
    <sheetView workbookViewId="0"/>
  </sheetViews>
  <sheetFormatPr defaultRowHeight="15" x14ac:dyDescent="0.25"/>
  <sheetData>
    <row r="2" spans="3:14" x14ac:dyDescent="0.25">
      <c r="C2" t="s">
        <v>0</v>
      </c>
      <c r="N2" s="1" t="s">
        <v>1</v>
      </c>
    </row>
    <row r="3" spans="3:14" x14ac:dyDescent="0.25">
      <c r="C3">
        <v>2024</v>
      </c>
      <c r="D3">
        <v>2025</v>
      </c>
      <c r="E3">
        <v>2026</v>
      </c>
      <c r="F3">
        <v>2027</v>
      </c>
      <c r="N3" t="s">
        <v>2</v>
      </c>
    </row>
    <row r="4" spans="3:14" x14ac:dyDescent="0.25">
      <c r="D4" t="s">
        <v>3</v>
      </c>
      <c r="F4" t="s">
        <v>4</v>
      </c>
      <c r="N4" t="s">
        <v>5</v>
      </c>
    </row>
    <row r="5" spans="3:14" x14ac:dyDescent="0.25">
      <c r="N5" t="s">
        <v>6</v>
      </c>
    </row>
    <row r="6" spans="3:14" x14ac:dyDescent="0.25">
      <c r="N6" t="s">
        <v>7</v>
      </c>
    </row>
    <row r="7" spans="3:14" x14ac:dyDescent="0.25">
      <c r="C7" t="s">
        <v>8</v>
      </c>
      <c r="N7" t="s">
        <v>9</v>
      </c>
    </row>
    <row r="8" spans="3:14" x14ac:dyDescent="0.25">
      <c r="C8" t="s">
        <v>10</v>
      </c>
      <c r="N8" t="s">
        <v>11</v>
      </c>
    </row>
    <row r="9" spans="3:14" x14ac:dyDescent="0.25">
      <c r="D9" t="s">
        <v>12</v>
      </c>
      <c r="N9" t="s">
        <v>13</v>
      </c>
    </row>
    <row r="10" spans="3:14" x14ac:dyDescent="0.25">
      <c r="D10" t="s">
        <v>14</v>
      </c>
      <c r="M10" t="s">
        <v>15</v>
      </c>
      <c r="N10" t="s">
        <v>16</v>
      </c>
    </row>
    <row r="11" spans="3:14" x14ac:dyDescent="0.25">
      <c r="D11" t="s">
        <v>17</v>
      </c>
    </row>
    <row r="12" spans="3:14" x14ac:dyDescent="0.25">
      <c r="D12" t="s">
        <v>18</v>
      </c>
    </row>
    <row r="13" spans="3:14" x14ac:dyDescent="0.25">
      <c r="D13" t="s">
        <v>19</v>
      </c>
    </row>
    <row r="14" spans="3:14" x14ac:dyDescent="0.25">
      <c r="C14" t="s">
        <v>20</v>
      </c>
    </row>
    <row r="15" spans="3:14" x14ac:dyDescent="0.25">
      <c r="D15" t="s">
        <v>12</v>
      </c>
    </row>
    <row r="16" spans="3:14" x14ac:dyDescent="0.25">
      <c r="D16" t="s">
        <v>14</v>
      </c>
    </row>
    <row r="17" spans="3:4" x14ac:dyDescent="0.25">
      <c r="D17" t="s">
        <v>17</v>
      </c>
    </row>
    <row r="18" spans="3:4" x14ac:dyDescent="0.25">
      <c r="D18" t="s">
        <v>18</v>
      </c>
    </row>
    <row r="19" spans="3:4" x14ac:dyDescent="0.25">
      <c r="D19" t="s">
        <v>19</v>
      </c>
    </row>
    <row r="20" spans="3:4" x14ac:dyDescent="0.25">
      <c r="C20" t="s">
        <v>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B4A6-EF84-406C-8A54-E1234F0E38FF}">
  <sheetPr>
    <tabColor theme="9" tint="0.79998168889431442"/>
  </sheetPr>
  <dimension ref="A2:AH84"/>
  <sheetViews>
    <sheetView topLeftCell="A43" workbookViewId="0">
      <selection activeCell="H60" sqref="H60"/>
    </sheetView>
  </sheetViews>
  <sheetFormatPr defaultRowHeight="15" x14ac:dyDescent="0.25"/>
  <cols>
    <col min="1" max="1" width="46" customWidth="1"/>
    <col min="2" max="2" width="18.85546875" bestFit="1" customWidth="1"/>
    <col min="3" max="3" width="11.7109375" customWidth="1"/>
    <col min="4" max="4" width="14.7109375" customWidth="1"/>
    <col min="5" max="5" width="17" customWidth="1"/>
    <col min="6" max="6" width="19" customWidth="1"/>
    <col min="7" max="7" width="22" customWidth="1"/>
    <col min="8" max="8" width="20.28515625" bestFit="1" customWidth="1"/>
    <col min="9" max="9" width="11.85546875" customWidth="1"/>
    <col min="10" max="10" width="13.7109375" customWidth="1"/>
    <col min="11" max="11" width="12.5703125" customWidth="1"/>
    <col min="12" max="12" width="13.28515625" customWidth="1"/>
    <col min="13" max="13" width="12.42578125" customWidth="1"/>
    <col min="15" max="15" width="14.85546875" customWidth="1"/>
    <col min="16" max="16" width="12.28515625" customWidth="1"/>
    <col min="21" max="21" width="14" customWidth="1"/>
    <col min="22" max="23" width="11.140625" customWidth="1"/>
    <col min="24" max="24" width="14.42578125" customWidth="1"/>
    <col min="32" max="32" width="15.28515625" bestFit="1" customWidth="1"/>
    <col min="33" max="33" width="11.42578125" customWidth="1"/>
    <col min="34" max="34" width="12.140625" customWidth="1"/>
  </cols>
  <sheetData>
    <row r="2" spans="1:8" ht="30" x14ac:dyDescent="0.25">
      <c r="A2" s="87" t="s">
        <v>188</v>
      </c>
      <c r="B2" s="18">
        <v>2028</v>
      </c>
      <c r="F2" s="127"/>
    </row>
    <row r="3" spans="1:8" x14ac:dyDescent="0.25">
      <c r="A3" s="87" t="s">
        <v>344</v>
      </c>
      <c r="B3" s="18">
        <f>'Inputs &amp; Parameters'!B20</f>
        <v>131.18885700000001</v>
      </c>
      <c r="C3" t="s">
        <v>345</v>
      </c>
      <c r="F3" s="128"/>
    </row>
    <row r="4" spans="1:8" x14ac:dyDescent="0.25">
      <c r="A4" s="5" t="s">
        <v>189</v>
      </c>
      <c r="B4" s="18">
        <v>6</v>
      </c>
      <c r="C4" t="s">
        <v>237</v>
      </c>
      <c r="F4" s="128"/>
    </row>
    <row r="5" spans="1:8" x14ac:dyDescent="0.25">
      <c r="A5" s="33" t="s">
        <v>191</v>
      </c>
      <c r="B5" s="3">
        <f>'Rail Diversion (No Build) - Dry'!$B$9</f>
        <v>53.5</v>
      </c>
      <c r="C5" t="s">
        <v>346</v>
      </c>
      <c r="F5" s="128"/>
    </row>
    <row r="6" spans="1:8" x14ac:dyDescent="0.25">
      <c r="A6" s="33" t="s">
        <v>193</v>
      </c>
      <c r="B6" s="3">
        <f>'Truck Diversion (No Build)- Dry'!$B$9</f>
        <v>33.5</v>
      </c>
      <c r="C6" t="s">
        <v>347</v>
      </c>
    </row>
    <row r="7" spans="1:8" x14ac:dyDescent="0.25">
      <c r="A7" s="5" t="s">
        <v>348</v>
      </c>
      <c r="B7" s="25">
        <v>3000</v>
      </c>
      <c r="C7" t="s">
        <v>237</v>
      </c>
    </row>
    <row r="8" spans="1:8" x14ac:dyDescent="0.25">
      <c r="A8" s="5" t="s">
        <v>196</v>
      </c>
      <c r="B8" s="25">
        <f>'Inputs &amp; Parameters'!B22/'Barge (Build) - Dry'!B7/12</f>
        <v>10.207230555555556</v>
      </c>
      <c r="C8" t="s">
        <v>237</v>
      </c>
    </row>
    <row r="9" spans="1:8" x14ac:dyDescent="0.25">
      <c r="A9" s="5" t="s">
        <v>349</v>
      </c>
      <c r="B9" s="25">
        <f>B8*12*'Inputs &amp; Parameters'!B20</f>
        <v>16068.898916625703</v>
      </c>
    </row>
    <row r="10" spans="1:8" x14ac:dyDescent="0.25">
      <c r="A10" s="5" t="s">
        <v>198</v>
      </c>
      <c r="B10" s="25">
        <f>B7*'Inputs &amp; Parameters'!$B$20*$B$8+12</f>
        <v>4017236.7291564257</v>
      </c>
    </row>
    <row r="11" spans="1:8" ht="30" x14ac:dyDescent="0.25">
      <c r="A11" s="87" t="s">
        <v>235</v>
      </c>
      <c r="B11" s="17">
        <f>77000</f>
        <v>77000</v>
      </c>
      <c r="C11" t="s">
        <v>350</v>
      </c>
      <c r="H11" s="9"/>
    </row>
    <row r="12" spans="1:8" x14ac:dyDescent="0.25">
      <c r="A12" s="5" t="s">
        <v>351</v>
      </c>
      <c r="B12" s="18">
        <v>4</v>
      </c>
      <c r="C12" t="s">
        <v>237</v>
      </c>
    </row>
    <row r="13" spans="1:8" x14ac:dyDescent="0.25">
      <c r="A13" s="5" t="s">
        <v>402</v>
      </c>
      <c r="B13" s="18">
        <v>8</v>
      </c>
    </row>
    <row r="15" spans="1:8" ht="48" customHeight="1" x14ac:dyDescent="0.25">
      <c r="A15" s="170" t="s">
        <v>352</v>
      </c>
      <c r="B15" s="170"/>
      <c r="C15" s="171" t="s">
        <v>353</v>
      </c>
      <c r="D15" s="171"/>
      <c r="E15" s="170" t="s">
        <v>354</v>
      </c>
      <c r="F15" s="170"/>
    </row>
    <row r="16" spans="1:8" ht="45" x14ac:dyDescent="0.25">
      <c r="A16" s="14" t="s">
        <v>42</v>
      </c>
      <c r="B16" s="15" t="s">
        <v>223</v>
      </c>
      <c r="C16" s="14" t="s">
        <v>224</v>
      </c>
      <c r="D16" s="14" t="s">
        <v>225</v>
      </c>
      <c r="E16" s="14" t="s">
        <v>224</v>
      </c>
      <c r="F16" s="14" t="s">
        <v>225</v>
      </c>
    </row>
    <row r="17" spans="1:6" x14ac:dyDescent="0.25">
      <c r="A17" s="12">
        <v>2002</v>
      </c>
      <c r="B17" s="25">
        <v>293626000000</v>
      </c>
      <c r="C17" s="25">
        <v>8</v>
      </c>
      <c r="D17" s="25">
        <v>17</v>
      </c>
      <c r="E17" s="5"/>
      <c r="F17" s="5"/>
    </row>
    <row r="18" spans="1:6" x14ac:dyDescent="0.25">
      <c r="A18" s="12">
        <v>2003</v>
      </c>
      <c r="B18" s="25">
        <v>278360000000</v>
      </c>
      <c r="C18" s="25">
        <v>2</v>
      </c>
      <c r="D18" s="25">
        <v>14</v>
      </c>
      <c r="E18" s="5"/>
      <c r="F18" s="5"/>
    </row>
    <row r="19" spans="1:6" x14ac:dyDescent="0.25">
      <c r="A19" s="12">
        <v>2004</v>
      </c>
      <c r="B19" s="25">
        <v>284162000000</v>
      </c>
      <c r="C19" s="25">
        <v>2</v>
      </c>
      <c r="D19" s="25">
        <v>34</v>
      </c>
      <c r="E19" s="5"/>
      <c r="F19" s="5"/>
    </row>
    <row r="20" spans="1:6" x14ac:dyDescent="0.25">
      <c r="A20" s="12">
        <v>2005</v>
      </c>
      <c r="B20" s="25">
        <v>274366000000</v>
      </c>
      <c r="C20" s="25">
        <v>11</v>
      </c>
      <c r="D20" s="25">
        <v>21</v>
      </c>
      <c r="E20" s="5"/>
      <c r="F20" s="5"/>
    </row>
    <row r="21" spans="1:6" x14ac:dyDescent="0.25">
      <c r="A21" s="12">
        <v>2006</v>
      </c>
      <c r="B21" s="25">
        <v>279858000000</v>
      </c>
      <c r="C21" s="25">
        <v>8</v>
      </c>
      <c r="D21" s="25">
        <v>22</v>
      </c>
      <c r="E21" s="5"/>
      <c r="F21" s="5"/>
    </row>
    <row r="22" spans="1:6" x14ac:dyDescent="0.25">
      <c r="A22" s="12">
        <v>2007</v>
      </c>
      <c r="B22" s="25"/>
      <c r="C22" s="25" t="s">
        <v>226</v>
      </c>
      <c r="D22" s="25"/>
      <c r="E22" s="5"/>
      <c r="F22" s="5"/>
    </row>
    <row r="23" spans="1:6" x14ac:dyDescent="0.25">
      <c r="A23" s="5" t="s">
        <v>227</v>
      </c>
      <c r="B23" s="5"/>
      <c r="C23" s="10">
        <v>11</v>
      </c>
      <c r="D23" s="10">
        <v>34</v>
      </c>
      <c r="E23" s="56">
        <f>C23/B20</f>
        <v>4.0092431277928022E-11</v>
      </c>
      <c r="F23" s="55">
        <f>D23/B19</f>
        <v>1.1965005876929357E-10</v>
      </c>
    </row>
    <row r="24" spans="1:6" x14ac:dyDescent="0.25">
      <c r="A24" s="198" t="s">
        <v>228</v>
      </c>
      <c r="B24" s="198"/>
      <c r="C24" s="198"/>
      <c r="D24" s="198"/>
      <c r="E24" s="198"/>
      <c r="F24" s="198"/>
    </row>
    <row r="25" spans="1:6" x14ac:dyDescent="0.25">
      <c r="A25" s="195" t="s">
        <v>229</v>
      </c>
      <c r="B25" s="195"/>
      <c r="C25" s="195"/>
      <c r="D25" s="195"/>
      <c r="E25" s="195"/>
      <c r="F25" s="195"/>
    </row>
    <row r="26" spans="1:6" x14ac:dyDescent="0.25">
      <c r="A26" s="1"/>
      <c r="B26" s="1"/>
      <c r="C26" s="1"/>
      <c r="D26" s="1"/>
      <c r="E26" s="1"/>
      <c r="F26" s="1"/>
    </row>
    <row r="27" spans="1:6" ht="20.25" thickBot="1" x14ac:dyDescent="0.35">
      <c r="A27" s="19" t="s">
        <v>202</v>
      </c>
      <c r="B27" s="27" t="s">
        <v>203</v>
      </c>
      <c r="F27" t="s">
        <v>204</v>
      </c>
    </row>
    <row r="28" spans="1:6" ht="15.75" thickTop="1" x14ac:dyDescent="0.25"/>
    <row r="29" spans="1:6" x14ac:dyDescent="0.25">
      <c r="A29" s="170" t="s">
        <v>205</v>
      </c>
      <c r="B29" s="170"/>
      <c r="C29" s="13" t="s">
        <v>77</v>
      </c>
    </row>
    <row r="30" spans="1:6" x14ac:dyDescent="0.25">
      <c r="A30" s="5" t="s">
        <v>206</v>
      </c>
      <c r="B30" s="18">
        <v>22.4</v>
      </c>
      <c r="C30" s="43" t="s">
        <v>203</v>
      </c>
    </row>
    <row r="31" spans="1:6" x14ac:dyDescent="0.25">
      <c r="A31" s="5" t="s">
        <v>207</v>
      </c>
      <c r="B31" s="24">
        <v>453.59237000000002</v>
      </c>
      <c r="C31" s="5"/>
    </row>
    <row r="32" spans="1:6" x14ac:dyDescent="0.25">
      <c r="A32" s="5" t="s">
        <v>208</v>
      </c>
      <c r="B32" s="24">
        <v>675</v>
      </c>
      <c r="C32" s="27" t="s">
        <v>209</v>
      </c>
    </row>
    <row r="33" spans="1:25" ht="30" x14ac:dyDescent="0.25">
      <c r="A33" s="87" t="s">
        <v>210</v>
      </c>
      <c r="B33" s="48">
        <f>B32/'Barge (Build) - Dry'!$B$7</f>
        <v>0.22500000000000001</v>
      </c>
      <c r="C33" s="43"/>
    </row>
    <row r="34" spans="1:25" x14ac:dyDescent="0.25">
      <c r="A34" s="5" t="s">
        <v>211</v>
      </c>
      <c r="B34" s="49">
        <f>1/B33</f>
        <v>4.4444444444444446</v>
      </c>
      <c r="C34" s="5"/>
    </row>
    <row r="35" spans="1:25" x14ac:dyDescent="0.25">
      <c r="A35" s="5" t="s">
        <v>212</v>
      </c>
      <c r="B35" s="91">
        <f>B30*B31*B34</f>
        <v>45157.640391111112</v>
      </c>
      <c r="C35" s="5"/>
    </row>
    <row r="36" spans="1:25" ht="15.75" thickBot="1" x14ac:dyDescent="0.3"/>
    <row r="37" spans="1:25" ht="30" x14ac:dyDescent="0.25">
      <c r="A37" s="135" t="s">
        <v>213</v>
      </c>
      <c r="B37" s="23">
        <v>2024</v>
      </c>
      <c r="C37" s="23">
        <f t="shared" ref="C37:Y37" si="0">B37+1</f>
        <v>2025</v>
      </c>
      <c r="D37" s="23">
        <f t="shared" si="0"/>
        <v>2026</v>
      </c>
      <c r="E37" s="23">
        <f t="shared" si="0"/>
        <v>2027</v>
      </c>
      <c r="F37" s="23">
        <f t="shared" si="0"/>
        <v>2028</v>
      </c>
      <c r="G37" s="23">
        <f t="shared" si="0"/>
        <v>2029</v>
      </c>
      <c r="H37" s="23">
        <f t="shared" si="0"/>
        <v>2030</v>
      </c>
      <c r="I37" s="23">
        <f t="shared" si="0"/>
        <v>2031</v>
      </c>
      <c r="J37" s="23">
        <f t="shared" si="0"/>
        <v>2032</v>
      </c>
      <c r="K37" s="23">
        <f t="shared" si="0"/>
        <v>2033</v>
      </c>
      <c r="L37" s="23">
        <f t="shared" si="0"/>
        <v>2034</v>
      </c>
      <c r="M37" s="23">
        <f t="shared" si="0"/>
        <v>2035</v>
      </c>
      <c r="N37" s="23">
        <f t="shared" si="0"/>
        <v>2036</v>
      </c>
      <c r="O37" s="23">
        <f t="shared" si="0"/>
        <v>2037</v>
      </c>
      <c r="P37" s="23">
        <f t="shared" si="0"/>
        <v>2038</v>
      </c>
      <c r="Q37" s="23">
        <f t="shared" si="0"/>
        <v>2039</v>
      </c>
      <c r="R37" s="23">
        <f t="shared" si="0"/>
        <v>2040</v>
      </c>
      <c r="S37" s="23">
        <f t="shared" si="0"/>
        <v>2041</v>
      </c>
      <c r="T37" s="23">
        <f t="shared" si="0"/>
        <v>2042</v>
      </c>
      <c r="U37" s="23">
        <f t="shared" si="0"/>
        <v>2043</v>
      </c>
      <c r="V37" s="23">
        <f t="shared" si="0"/>
        <v>2044</v>
      </c>
      <c r="W37" s="23">
        <f t="shared" si="0"/>
        <v>2045</v>
      </c>
      <c r="X37" s="23">
        <f t="shared" si="0"/>
        <v>2046</v>
      </c>
      <c r="Y37" s="23">
        <f t="shared" si="0"/>
        <v>2047</v>
      </c>
    </row>
    <row r="38" spans="1:25" x14ac:dyDescent="0.25">
      <c r="A38" s="21" t="s">
        <v>214</v>
      </c>
      <c r="B38" s="50">
        <f>$B$35</f>
        <v>45157.640391111112</v>
      </c>
      <c r="C38" s="50">
        <f t="shared" ref="C38:Y38" si="1">B38</f>
        <v>45157.640391111112</v>
      </c>
      <c r="D38" s="50">
        <f t="shared" si="1"/>
        <v>45157.640391111112</v>
      </c>
      <c r="E38" s="50">
        <f t="shared" si="1"/>
        <v>45157.640391111112</v>
      </c>
      <c r="F38" s="50">
        <f t="shared" si="1"/>
        <v>45157.640391111112</v>
      </c>
      <c r="G38" s="50">
        <f t="shared" si="1"/>
        <v>45157.640391111112</v>
      </c>
      <c r="H38" s="50">
        <f t="shared" si="1"/>
        <v>45157.640391111112</v>
      </c>
      <c r="I38" s="50">
        <f t="shared" si="1"/>
        <v>45157.640391111112</v>
      </c>
      <c r="J38" s="50">
        <f t="shared" si="1"/>
        <v>45157.640391111112</v>
      </c>
      <c r="K38" s="50">
        <f t="shared" si="1"/>
        <v>45157.640391111112</v>
      </c>
      <c r="L38" s="50">
        <f t="shared" si="1"/>
        <v>45157.640391111112</v>
      </c>
      <c r="M38" s="50">
        <f t="shared" si="1"/>
        <v>45157.640391111112</v>
      </c>
      <c r="N38" s="50">
        <f t="shared" si="1"/>
        <v>45157.640391111112</v>
      </c>
      <c r="O38" s="50">
        <f t="shared" si="1"/>
        <v>45157.640391111112</v>
      </c>
      <c r="P38" s="50">
        <f t="shared" si="1"/>
        <v>45157.640391111112</v>
      </c>
      <c r="Q38" s="50">
        <f t="shared" si="1"/>
        <v>45157.640391111112</v>
      </c>
      <c r="R38" s="50">
        <f t="shared" si="1"/>
        <v>45157.640391111112</v>
      </c>
      <c r="S38" s="50">
        <f t="shared" si="1"/>
        <v>45157.640391111112</v>
      </c>
      <c r="T38" s="50">
        <f t="shared" si="1"/>
        <v>45157.640391111112</v>
      </c>
      <c r="U38" s="50">
        <f t="shared" si="1"/>
        <v>45157.640391111112</v>
      </c>
      <c r="V38" s="50">
        <f t="shared" si="1"/>
        <v>45157.640391111112</v>
      </c>
      <c r="W38" s="50">
        <f t="shared" si="1"/>
        <v>45157.640391111112</v>
      </c>
      <c r="X38" s="50">
        <f t="shared" si="1"/>
        <v>45157.640391111112</v>
      </c>
      <c r="Y38" s="50">
        <f t="shared" si="1"/>
        <v>45157.640391111112</v>
      </c>
    </row>
    <row r="39" spans="1:25" x14ac:dyDescent="0.25">
      <c r="A39" s="21" t="s">
        <v>215</v>
      </c>
      <c r="B39" s="50">
        <v>0</v>
      </c>
      <c r="C39" s="50">
        <v>0</v>
      </c>
      <c r="D39" s="50">
        <v>0</v>
      </c>
      <c r="E39" s="50">
        <v>0</v>
      </c>
      <c r="F39" s="50">
        <v>0</v>
      </c>
      <c r="G39" s="50">
        <v>0</v>
      </c>
      <c r="H39" s="50">
        <v>0</v>
      </c>
      <c r="I39" s="50">
        <v>0</v>
      </c>
      <c r="J39" s="50">
        <v>0</v>
      </c>
      <c r="K39" s="50">
        <v>0</v>
      </c>
      <c r="L39" s="50">
        <v>0</v>
      </c>
      <c r="M39" s="50">
        <v>0</v>
      </c>
      <c r="N39" s="50">
        <v>0</v>
      </c>
      <c r="O39" s="50">
        <v>0</v>
      </c>
      <c r="P39" s="50">
        <v>0</v>
      </c>
      <c r="Q39" s="50">
        <v>0</v>
      </c>
      <c r="R39" s="50">
        <v>0</v>
      </c>
      <c r="S39" s="50">
        <v>0</v>
      </c>
      <c r="T39" s="50">
        <v>0</v>
      </c>
      <c r="U39" s="50">
        <v>0</v>
      </c>
      <c r="V39" s="50">
        <v>0</v>
      </c>
      <c r="W39" s="50">
        <v>0</v>
      </c>
      <c r="X39" s="50">
        <v>0</v>
      </c>
      <c r="Y39" s="50">
        <v>0</v>
      </c>
    </row>
    <row r="40" spans="1:25" x14ac:dyDescent="0.25">
      <c r="A40" s="21" t="s">
        <v>216</v>
      </c>
      <c r="B40" s="50">
        <v>0</v>
      </c>
      <c r="C40" s="50">
        <v>0</v>
      </c>
      <c r="D40" s="50">
        <v>0</v>
      </c>
      <c r="E40" s="50">
        <v>0</v>
      </c>
      <c r="F40" s="50">
        <v>0</v>
      </c>
      <c r="G40" s="50">
        <v>0</v>
      </c>
      <c r="H40" s="50">
        <v>0</v>
      </c>
      <c r="I40" s="50">
        <v>0</v>
      </c>
      <c r="J40" s="50">
        <v>0</v>
      </c>
      <c r="K40" s="50">
        <v>0</v>
      </c>
      <c r="L40" s="50">
        <v>0</v>
      </c>
      <c r="M40" s="50">
        <v>0</v>
      </c>
      <c r="N40" s="50">
        <v>0</v>
      </c>
      <c r="O40" s="50">
        <v>0</v>
      </c>
      <c r="P40" s="50">
        <v>0</v>
      </c>
      <c r="Q40" s="50">
        <v>0</v>
      </c>
      <c r="R40" s="50">
        <v>0</v>
      </c>
      <c r="S40" s="50">
        <v>0</v>
      </c>
      <c r="T40" s="50">
        <v>0</v>
      </c>
      <c r="U40" s="50">
        <v>0</v>
      </c>
      <c r="V40" s="50">
        <v>0</v>
      </c>
      <c r="W40" s="50">
        <v>0</v>
      </c>
      <c r="X40" s="50">
        <v>0</v>
      </c>
      <c r="Y40" s="50">
        <v>0</v>
      </c>
    </row>
    <row r="41" spans="1:25" x14ac:dyDescent="0.25">
      <c r="A41" s="21" t="s">
        <v>217</v>
      </c>
      <c r="B41" s="50">
        <v>0</v>
      </c>
      <c r="C41" s="50">
        <v>0</v>
      </c>
      <c r="D41" s="50">
        <v>0</v>
      </c>
      <c r="E41" s="50">
        <v>0</v>
      </c>
      <c r="F41" s="50">
        <v>0</v>
      </c>
      <c r="G41" s="50">
        <v>0</v>
      </c>
      <c r="H41" s="50">
        <v>0</v>
      </c>
      <c r="I41" s="50">
        <v>0</v>
      </c>
      <c r="J41" s="50">
        <v>0</v>
      </c>
      <c r="K41" s="50">
        <v>0</v>
      </c>
      <c r="L41" s="50">
        <v>0</v>
      </c>
      <c r="M41" s="50">
        <v>0</v>
      </c>
      <c r="N41" s="50">
        <v>0</v>
      </c>
      <c r="O41" s="50">
        <v>0</v>
      </c>
      <c r="P41" s="50">
        <v>0</v>
      </c>
      <c r="Q41" s="50">
        <v>0</v>
      </c>
      <c r="R41" s="50">
        <v>0</v>
      </c>
      <c r="S41" s="50">
        <v>0</v>
      </c>
      <c r="T41" s="50">
        <v>0</v>
      </c>
      <c r="U41" s="50">
        <v>0</v>
      </c>
      <c r="V41" s="50">
        <v>0</v>
      </c>
      <c r="W41" s="50">
        <v>0</v>
      </c>
      <c r="X41" s="50">
        <v>0</v>
      </c>
      <c r="Y41" s="50">
        <v>0</v>
      </c>
    </row>
    <row r="42" spans="1:25" x14ac:dyDescent="0.25">
      <c r="A42" s="21" t="s">
        <v>218</v>
      </c>
      <c r="B42" s="50">
        <v>0</v>
      </c>
      <c r="C42" s="50">
        <v>0</v>
      </c>
      <c r="D42" s="50">
        <v>0</v>
      </c>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50">
        <v>0</v>
      </c>
    </row>
    <row r="43" spans="1:25" ht="30" x14ac:dyDescent="0.25">
      <c r="A43" s="46" t="s">
        <v>219</v>
      </c>
      <c r="B43" s="23">
        <v>2024</v>
      </c>
      <c r="C43" s="23">
        <f t="shared" ref="C43:Y43" si="2">B43+1</f>
        <v>2025</v>
      </c>
      <c r="D43" s="23">
        <f t="shared" si="2"/>
        <v>2026</v>
      </c>
      <c r="E43" s="23">
        <f t="shared" si="2"/>
        <v>2027</v>
      </c>
      <c r="F43" s="23">
        <f t="shared" si="2"/>
        <v>2028</v>
      </c>
      <c r="G43" s="23">
        <f t="shared" si="2"/>
        <v>2029</v>
      </c>
      <c r="H43" s="23">
        <f t="shared" si="2"/>
        <v>2030</v>
      </c>
      <c r="I43" s="23">
        <f t="shared" si="2"/>
        <v>2031</v>
      </c>
      <c r="J43" s="23">
        <f t="shared" si="2"/>
        <v>2032</v>
      </c>
      <c r="K43" s="23">
        <f t="shared" si="2"/>
        <v>2033</v>
      </c>
      <c r="L43" s="23">
        <f t="shared" si="2"/>
        <v>2034</v>
      </c>
      <c r="M43" s="23">
        <f t="shared" si="2"/>
        <v>2035</v>
      </c>
      <c r="N43" s="23">
        <f t="shared" si="2"/>
        <v>2036</v>
      </c>
      <c r="O43" s="23">
        <f t="shared" si="2"/>
        <v>2037</v>
      </c>
      <c r="P43" s="23">
        <f t="shared" si="2"/>
        <v>2038</v>
      </c>
      <c r="Q43" s="23">
        <f t="shared" si="2"/>
        <v>2039</v>
      </c>
      <c r="R43" s="23">
        <f t="shared" si="2"/>
        <v>2040</v>
      </c>
      <c r="S43" s="23">
        <f t="shared" si="2"/>
        <v>2041</v>
      </c>
      <c r="T43" s="23">
        <f t="shared" si="2"/>
        <v>2042</v>
      </c>
      <c r="U43" s="23">
        <f t="shared" si="2"/>
        <v>2043</v>
      </c>
      <c r="V43" s="23">
        <f t="shared" si="2"/>
        <v>2044</v>
      </c>
      <c r="W43" s="23">
        <f t="shared" si="2"/>
        <v>2045</v>
      </c>
      <c r="X43" s="23">
        <f t="shared" si="2"/>
        <v>2046</v>
      </c>
      <c r="Y43" s="23">
        <f t="shared" si="2"/>
        <v>2047</v>
      </c>
    </row>
    <row r="44" spans="1:25" x14ac:dyDescent="0.25">
      <c r="A44" s="21" t="s">
        <v>214</v>
      </c>
      <c r="B44" s="41">
        <f>B38/'Inputs &amp; Parameters'!$B$9</f>
        <v>4.5157640391111115E-2</v>
      </c>
      <c r="C44" s="41">
        <f>C38/'Inputs &amp; Parameters'!$B$9</f>
        <v>4.5157640391111115E-2</v>
      </c>
      <c r="D44" s="41">
        <f>D38/'Inputs &amp; Parameters'!$B$9</f>
        <v>4.5157640391111115E-2</v>
      </c>
      <c r="E44" s="41">
        <f>E38/'Inputs &amp; Parameters'!$B$9</f>
        <v>4.5157640391111115E-2</v>
      </c>
      <c r="F44" s="41">
        <f>F38/'Inputs &amp; Parameters'!$B$9</f>
        <v>4.5157640391111115E-2</v>
      </c>
      <c r="G44" s="41">
        <f>G38/'Inputs &amp; Parameters'!$B$9</f>
        <v>4.5157640391111115E-2</v>
      </c>
      <c r="H44" s="41">
        <f>H38/'Inputs &amp; Parameters'!$B$9</f>
        <v>4.5157640391111115E-2</v>
      </c>
      <c r="I44" s="41">
        <f>I38/'Inputs &amp; Parameters'!$B$9</f>
        <v>4.5157640391111115E-2</v>
      </c>
      <c r="J44" s="41">
        <f>J38/'Inputs &amp; Parameters'!$B$9</f>
        <v>4.5157640391111115E-2</v>
      </c>
      <c r="K44" s="41">
        <f>K38/'Inputs &amp; Parameters'!$B$9</f>
        <v>4.5157640391111115E-2</v>
      </c>
      <c r="L44" s="41">
        <f>L38/'Inputs &amp; Parameters'!$B$9</f>
        <v>4.5157640391111115E-2</v>
      </c>
      <c r="M44" s="41">
        <f>M38/'Inputs &amp; Parameters'!$B$9</f>
        <v>4.5157640391111115E-2</v>
      </c>
      <c r="N44" s="41">
        <f>N38/'Inputs &amp; Parameters'!$B$9</f>
        <v>4.5157640391111115E-2</v>
      </c>
      <c r="O44" s="41">
        <f>O38/'Inputs &amp; Parameters'!$B$9</f>
        <v>4.5157640391111115E-2</v>
      </c>
      <c r="P44" s="41">
        <f>P38/'Inputs &amp; Parameters'!$B$9</f>
        <v>4.5157640391111115E-2</v>
      </c>
      <c r="Q44" s="41">
        <f>Q38/'Inputs &amp; Parameters'!$B$9</f>
        <v>4.5157640391111115E-2</v>
      </c>
      <c r="R44" s="41">
        <f>R38/'Inputs &amp; Parameters'!$B$9</f>
        <v>4.5157640391111115E-2</v>
      </c>
      <c r="S44" s="41">
        <f>S38/'Inputs &amp; Parameters'!$B$9</f>
        <v>4.5157640391111115E-2</v>
      </c>
      <c r="T44" s="41">
        <f>T38/'Inputs &amp; Parameters'!$B$9</f>
        <v>4.5157640391111115E-2</v>
      </c>
      <c r="U44" s="41">
        <f>U38/'Inputs &amp; Parameters'!$B$9</f>
        <v>4.5157640391111115E-2</v>
      </c>
      <c r="V44" s="41">
        <f>V38/'Inputs &amp; Parameters'!$B$9</f>
        <v>4.5157640391111115E-2</v>
      </c>
      <c r="W44" s="41">
        <f>W38/'Inputs &amp; Parameters'!$B$9</f>
        <v>4.5157640391111115E-2</v>
      </c>
      <c r="X44" s="41">
        <f>X38/'Inputs &amp; Parameters'!$B$9</f>
        <v>4.5157640391111115E-2</v>
      </c>
      <c r="Y44" s="41">
        <f>Y38/'Inputs &amp; Parameters'!$B$9</f>
        <v>4.5157640391111115E-2</v>
      </c>
    </row>
    <row r="45" spans="1:25" x14ac:dyDescent="0.25">
      <c r="A45" s="21" t="s">
        <v>215</v>
      </c>
      <c r="B45" s="41">
        <f>B39/'Inputs &amp; Parameters'!$B$9</f>
        <v>0</v>
      </c>
      <c r="C45" s="41">
        <f>C39/'Inputs &amp; Parameters'!$B$9</f>
        <v>0</v>
      </c>
      <c r="D45" s="41">
        <f>D39/'Inputs &amp; Parameters'!$B$9</f>
        <v>0</v>
      </c>
      <c r="E45" s="41">
        <f>E39/'Inputs &amp; Parameters'!$B$9</f>
        <v>0</v>
      </c>
      <c r="F45" s="41">
        <f>F39/'Inputs &amp; Parameters'!$B$9</f>
        <v>0</v>
      </c>
      <c r="G45" s="41">
        <f>G39/'Inputs &amp; Parameters'!$B$9</f>
        <v>0</v>
      </c>
      <c r="H45" s="41">
        <f>H39/'Inputs &amp; Parameters'!$B$9</f>
        <v>0</v>
      </c>
      <c r="I45" s="41">
        <f>I39/'Inputs &amp; Parameters'!$B$9</f>
        <v>0</v>
      </c>
      <c r="J45" s="41">
        <f>J39/'Inputs &amp; Parameters'!$B$9</f>
        <v>0</v>
      </c>
      <c r="K45" s="41">
        <f>K39/'Inputs &amp; Parameters'!$B$9</f>
        <v>0</v>
      </c>
      <c r="L45" s="41">
        <f>L39/'Inputs &amp; Parameters'!$B$9</f>
        <v>0</v>
      </c>
      <c r="M45" s="41">
        <f>M39/'Inputs &amp; Parameters'!$B$9</f>
        <v>0</v>
      </c>
      <c r="N45" s="41">
        <f>N39/'Inputs &amp; Parameters'!$B$9</f>
        <v>0</v>
      </c>
      <c r="O45" s="41">
        <f>O39/'Inputs &amp; Parameters'!$B$9</f>
        <v>0</v>
      </c>
      <c r="P45" s="41">
        <f>P39/'Inputs &amp; Parameters'!$B$9</f>
        <v>0</v>
      </c>
      <c r="Q45" s="41">
        <f>Q39/'Inputs &amp; Parameters'!$B$9</f>
        <v>0</v>
      </c>
      <c r="R45" s="41">
        <f>R39/'Inputs &amp; Parameters'!$B$9</f>
        <v>0</v>
      </c>
      <c r="S45" s="41">
        <f>S39/'Inputs &amp; Parameters'!$B$9</f>
        <v>0</v>
      </c>
      <c r="T45" s="41">
        <f>T39/'Inputs &amp; Parameters'!$B$9</f>
        <v>0</v>
      </c>
      <c r="U45" s="41">
        <f>U39/'Inputs &amp; Parameters'!$B$9</f>
        <v>0</v>
      </c>
      <c r="V45" s="41">
        <f>V39/'Inputs &amp; Parameters'!$B$9</f>
        <v>0</v>
      </c>
      <c r="W45" s="41">
        <f>W39/'Inputs &amp; Parameters'!$B$9</f>
        <v>0</v>
      </c>
      <c r="X45" s="41">
        <f>X39/'Inputs &amp; Parameters'!$B$9</f>
        <v>0</v>
      </c>
      <c r="Y45" s="41">
        <f>Y39/'Inputs &amp; Parameters'!$B$9</f>
        <v>0</v>
      </c>
    </row>
    <row r="46" spans="1:25" x14ac:dyDescent="0.25">
      <c r="A46" s="21" t="s">
        <v>216</v>
      </c>
      <c r="B46" s="41">
        <f>B40/'Inputs &amp; Parameters'!$B$9</f>
        <v>0</v>
      </c>
      <c r="C46" s="41">
        <f>C40/'Inputs &amp; Parameters'!$B$9</f>
        <v>0</v>
      </c>
      <c r="D46" s="41">
        <f>D40/'Inputs &amp; Parameters'!$B$9</f>
        <v>0</v>
      </c>
      <c r="E46" s="41">
        <f>E40/'Inputs &amp; Parameters'!$B$9</f>
        <v>0</v>
      </c>
      <c r="F46" s="41">
        <f>F40/'Inputs &amp; Parameters'!$B$9</f>
        <v>0</v>
      </c>
      <c r="G46" s="41">
        <f>G40/'Inputs &amp; Parameters'!$B$9</f>
        <v>0</v>
      </c>
      <c r="H46" s="41">
        <f>H40/'Inputs &amp; Parameters'!$B$9</f>
        <v>0</v>
      </c>
      <c r="I46" s="41">
        <f>I40/'Inputs &amp; Parameters'!$B$9</f>
        <v>0</v>
      </c>
      <c r="J46" s="41">
        <f>J40/'Inputs &amp; Parameters'!$B$9</f>
        <v>0</v>
      </c>
      <c r="K46" s="41">
        <f>K40/'Inputs &amp; Parameters'!$B$9</f>
        <v>0</v>
      </c>
      <c r="L46" s="41">
        <f>L40/'Inputs &amp; Parameters'!$B$9</f>
        <v>0</v>
      </c>
      <c r="M46" s="41">
        <f>M40/'Inputs &amp; Parameters'!$B$9</f>
        <v>0</v>
      </c>
      <c r="N46" s="41">
        <f>N40/'Inputs &amp; Parameters'!$B$9</f>
        <v>0</v>
      </c>
      <c r="O46" s="41">
        <f>O40/'Inputs &amp; Parameters'!$B$9</f>
        <v>0</v>
      </c>
      <c r="P46" s="41">
        <f>P40/'Inputs &amp; Parameters'!$B$9</f>
        <v>0</v>
      </c>
      <c r="Q46" s="41">
        <f>Q40/'Inputs &amp; Parameters'!$B$9</f>
        <v>0</v>
      </c>
      <c r="R46" s="41">
        <f>R40/'Inputs &amp; Parameters'!$B$9</f>
        <v>0</v>
      </c>
      <c r="S46" s="41">
        <f>S40/'Inputs &amp; Parameters'!$B$9</f>
        <v>0</v>
      </c>
      <c r="T46" s="41">
        <f>T40/'Inputs &amp; Parameters'!$B$9</f>
        <v>0</v>
      </c>
      <c r="U46" s="41">
        <f>U40/'Inputs &amp; Parameters'!$B$9</f>
        <v>0</v>
      </c>
      <c r="V46" s="41">
        <f>V40/'Inputs &amp; Parameters'!$B$9</f>
        <v>0</v>
      </c>
      <c r="W46" s="41">
        <f>W40/'Inputs &amp; Parameters'!$B$9</f>
        <v>0</v>
      </c>
      <c r="X46" s="41">
        <f>X40/'Inputs &amp; Parameters'!$B$9</f>
        <v>0</v>
      </c>
      <c r="Y46" s="41">
        <f>Y40/'Inputs &amp; Parameters'!$B$9</f>
        <v>0</v>
      </c>
    </row>
    <row r="47" spans="1:25" x14ac:dyDescent="0.25">
      <c r="A47" s="21" t="s">
        <v>217</v>
      </c>
      <c r="B47" s="41">
        <f>B41/'Inputs &amp; Parameters'!$B$9</f>
        <v>0</v>
      </c>
      <c r="C47" s="41">
        <f>C41/'Inputs &amp; Parameters'!$B$9</f>
        <v>0</v>
      </c>
      <c r="D47" s="41">
        <f>D41/'Inputs &amp; Parameters'!$B$9</f>
        <v>0</v>
      </c>
      <c r="E47" s="41">
        <f>E41/'Inputs &amp; Parameters'!$B$9</f>
        <v>0</v>
      </c>
      <c r="F47" s="41">
        <f>F41/'Inputs &amp; Parameters'!$B$9</f>
        <v>0</v>
      </c>
      <c r="G47" s="41">
        <f>G41/'Inputs &amp; Parameters'!$B$9</f>
        <v>0</v>
      </c>
      <c r="H47" s="41">
        <f>H41/'Inputs &amp; Parameters'!$B$9</f>
        <v>0</v>
      </c>
      <c r="I47" s="41">
        <f>I41/'Inputs &amp; Parameters'!$B$9</f>
        <v>0</v>
      </c>
      <c r="J47" s="41">
        <f>J41/'Inputs &amp; Parameters'!$B$9</f>
        <v>0</v>
      </c>
      <c r="K47" s="41">
        <f>K41/'Inputs &amp; Parameters'!$B$9</f>
        <v>0</v>
      </c>
      <c r="L47" s="41">
        <f>L41/'Inputs &amp; Parameters'!$B$9</f>
        <v>0</v>
      </c>
      <c r="M47" s="41">
        <f>M41/'Inputs &amp; Parameters'!$B$9</f>
        <v>0</v>
      </c>
      <c r="N47" s="41">
        <f>N41/'Inputs &amp; Parameters'!$B$9</f>
        <v>0</v>
      </c>
      <c r="O47" s="41">
        <f>O41/'Inputs &amp; Parameters'!$B$9</f>
        <v>0</v>
      </c>
      <c r="P47" s="41">
        <f>P41/'Inputs &amp; Parameters'!$B$9</f>
        <v>0</v>
      </c>
      <c r="Q47" s="41">
        <f>Q41/'Inputs &amp; Parameters'!$B$9</f>
        <v>0</v>
      </c>
      <c r="R47" s="41">
        <f>R41/'Inputs &amp; Parameters'!$B$9</f>
        <v>0</v>
      </c>
      <c r="S47" s="41">
        <f>S41/'Inputs &amp; Parameters'!$B$9</f>
        <v>0</v>
      </c>
      <c r="T47" s="41">
        <f>T41/'Inputs &amp; Parameters'!$B$9</f>
        <v>0</v>
      </c>
      <c r="U47" s="41">
        <f>U41/'Inputs &amp; Parameters'!$B$9</f>
        <v>0</v>
      </c>
      <c r="V47" s="41">
        <f>V41/'Inputs &amp; Parameters'!$B$9</f>
        <v>0</v>
      </c>
      <c r="W47" s="41">
        <f>W41/'Inputs &amp; Parameters'!$B$9</f>
        <v>0</v>
      </c>
      <c r="X47" s="41">
        <f>X41/'Inputs &amp; Parameters'!$B$9</f>
        <v>0</v>
      </c>
      <c r="Y47" s="41">
        <f>Y41/'Inputs &amp; Parameters'!$B$9</f>
        <v>0</v>
      </c>
    </row>
    <row r="48" spans="1:25" x14ac:dyDescent="0.25">
      <c r="A48" s="21" t="s">
        <v>218</v>
      </c>
      <c r="B48" s="41">
        <f>B42/'Inputs &amp; Parameters'!$B$9</f>
        <v>0</v>
      </c>
      <c r="C48" s="41">
        <f>C42/'Inputs &amp; Parameters'!$B$9</f>
        <v>0</v>
      </c>
      <c r="D48" s="41">
        <f>D42/'Inputs &amp; Parameters'!$B$9</f>
        <v>0</v>
      </c>
      <c r="E48" s="41">
        <f>E42/'Inputs &amp; Parameters'!$B$9</f>
        <v>0</v>
      </c>
      <c r="F48" s="41">
        <f>F42/'Inputs &amp; Parameters'!$B$9</f>
        <v>0</v>
      </c>
      <c r="G48" s="41">
        <f>G42/'Inputs &amp; Parameters'!$B$9</f>
        <v>0</v>
      </c>
      <c r="H48" s="41">
        <f>H42/'Inputs &amp; Parameters'!$B$9</f>
        <v>0</v>
      </c>
      <c r="I48" s="41">
        <f>I42/'Inputs &amp; Parameters'!$B$9</f>
        <v>0</v>
      </c>
      <c r="J48" s="41">
        <f>J42/'Inputs &amp; Parameters'!$B$9</f>
        <v>0</v>
      </c>
      <c r="K48" s="41">
        <f>K42/'Inputs &amp; Parameters'!$B$9</f>
        <v>0</v>
      </c>
      <c r="L48" s="41">
        <f>L42/'Inputs &amp; Parameters'!$B$9</f>
        <v>0</v>
      </c>
      <c r="M48" s="41">
        <f>M42/'Inputs &amp; Parameters'!$B$9</f>
        <v>0</v>
      </c>
      <c r="N48" s="41">
        <f>N42/'Inputs &amp; Parameters'!$B$9</f>
        <v>0</v>
      </c>
      <c r="O48" s="41">
        <f>O42/'Inputs &amp; Parameters'!$B$9</f>
        <v>0</v>
      </c>
      <c r="P48" s="41">
        <f>P42/'Inputs &amp; Parameters'!$B$9</f>
        <v>0</v>
      </c>
      <c r="Q48" s="41">
        <f>Q42/'Inputs &amp; Parameters'!$B$9</f>
        <v>0</v>
      </c>
      <c r="R48" s="41">
        <f>R42/'Inputs &amp; Parameters'!$B$9</f>
        <v>0</v>
      </c>
      <c r="S48" s="41">
        <f>S42/'Inputs &amp; Parameters'!$B$9</f>
        <v>0</v>
      </c>
      <c r="T48" s="41">
        <f>T42/'Inputs &amp; Parameters'!$B$9</f>
        <v>0</v>
      </c>
      <c r="U48" s="41">
        <f>U42/'Inputs &amp; Parameters'!$B$9</f>
        <v>0</v>
      </c>
      <c r="V48" s="41">
        <f>V42/'Inputs &amp; Parameters'!$B$9</f>
        <v>0</v>
      </c>
      <c r="W48" s="41">
        <f>W42/'Inputs &amp; Parameters'!$B$9</f>
        <v>0</v>
      </c>
      <c r="X48" s="41">
        <f>X42/'Inputs &amp; Parameters'!$B$9</f>
        <v>0</v>
      </c>
      <c r="Y48" s="41">
        <f>Y42/'Inputs &amp; Parameters'!$B$9</f>
        <v>0</v>
      </c>
    </row>
    <row r="49" spans="1:34" x14ac:dyDescent="0.25">
      <c r="A49" s="46" t="s">
        <v>220</v>
      </c>
      <c r="B49" s="23">
        <v>2024</v>
      </c>
      <c r="C49" s="23">
        <f t="shared" ref="C49:Y49" si="3">B49+1</f>
        <v>2025</v>
      </c>
      <c r="D49" s="23">
        <f t="shared" si="3"/>
        <v>2026</v>
      </c>
      <c r="E49" s="23">
        <f t="shared" si="3"/>
        <v>2027</v>
      </c>
      <c r="F49" s="23">
        <f t="shared" si="3"/>
        <v>2028</v>
      </c>
      <c r="G49" s="23">
        <f t="shared" si="3"/>
        <v>2029</v>
      </c>
      <c r="H49" s="23">
        <f t="shared" si="3"/>
        <v>2030</v>
      </c>
      <c r="I49" s="23">
        <f t="shared" si="3"/>
        <v>2031</v>
      </c>
      <c r="J49" s="23">
        <f t="shared" si="3"/>
        <v>2032</v>
      </c>
      <c r="K49" s="23">
        <f t="shared" si="3"/>
        <v>2033</v>
      </c>
      <c r="L49" s="23">
        <f t="shared" si="3"/>
        <v>2034</v>
      </c>
      <c r="M49" s="23">
        <f t="shared" si="3"/>
        <v>2035</v>
      </c>
      <c r="N49" s="23">
        <f t="shared" si="3"/>
        <v>2036</v>
      </c>
      <c r="O49" s="23">
        <f t="shared" si="3"/>
        <v>2037</v>
      </c>
      <c r="P49" s="23">
        <f t="shared" si="3"/>
        <v>2038</v>
      </c>
      <c r="Q49" s="23">
        <f t="shared" si="3"/>
        <v>2039</v>
      </c>
      <c r="R49" s="23">
        <f t="shared" si="3"/>
        <v>2040</v>
      </c>
      <c r="S49" s="23">
        <f t="shared" si="3"/>
        <v>2041</v>
      </c>
      <c r="T49" s="23">
        <f t="shared" si="3"/>
        <v>2042</v>
      </c>
      <c r="U49" s="23">
        <f t="shared" si="3"/>
        <v>2043</v>
      </c>
      <c r="V49" s="23">
        <f t="shared" si="3"/>
        <v>2044</v>
      </c>
      <c r="W49" s="23">
        <f t="shared" si="3"/>
        <v>2045</v>
      </c>
      <c r="X49" s="23">
        <f t="shared" si="3"/>
        <v>2046</v>
      </c>
      <c r="Y49" s="23">
        <f t="shared" si="3"/>
        <v>2047</v>
      </c>
    </row>
    <row r="50" spans="1:34" x14ac:dyDescent="0.25">
      <c r="A50" s="21" t="s">
        <v>214</v>
      </c>
      <c r="B50" s="6">
        <v>232.85396798284322</v>
      </c>
      <c r="C50" s="6">
        <v>237.33192890559022</v>
      </c>
      <c r="D50" s="6">
        <v>240.69039959765044</v>
      </c>
      <c r="E50" s="6">
        <v>245.16836052039741</v>
      </c>
      <c r="F50" s="6">
        <v>249.64632144314442</v>
      </c>
      <c r="G50" s="6">
        <v>253.00479213520464</v>
      </c>
      <c r="H50" s="6">
        <v>257.48275305795164</v>
      </c>
      <c r="I50" s="6">
        <v>261.96071398069864</v>
      </c>
      <c r="J50" s="6">
        <v>265.31918467275887</v>
      </c>
      <c r="K50" s="6">
        <v>269.79714559550587</v>
      </c>
      <c r="L50" s="6">
        <v>274.27510651825281</v>
      </c>
      <c r="M50" s="6">
        <v>277.63357721031309</v>
      </c>
      <c r="N50" s="6">
        <v>282.11153813306004</v>
      </c>
      <c r="O50" s="6">
        <v>286.58949905580704</v>
      </c>
      <c r="P50" s="6">
        <v>289.94796974786726</v>
      </c>
      <c r="Q50" s="6">
        <v>294.42593067061426</v>
      </c>
      <c r="R50" s="6">
        <v>298.90389159336127</v>
      </c>
      <c r="S50" s="6">
        <v>303.38185251610821</v>
      </c>
      <c r="T50" s="6">
        <v>307.85981343885521</v>
      </c>
      <c r="U50" s="6">
        <v>312.33777436160221</v>
      </c>
      <c r="V50" s="6">
        <v>316.81573528434916</v>
      </c>
      <c r="W50" s="6">
        <v>321.29369620709616</v>
      </c>
      <c r="X50" s="6">
        <v>325.77165712984316</v>
      </c>
      <c r="Y50" s="6">
        <v>331.36910828327689</v>
      </c>
    </row>
    <row r="51" spans="1:34" x14ac:dyDescent="0.25">
      <c r="A51" s="21" t="s">
        <v>215</v>
      </c>
      <c r="B51" s="6">
        <v>20100</v>
      </c>
      <c r="C51" s="6">
        <v>20300</v>
      </c>
      <c r="D51" s="6">
        <v>20600</v>
      </c>
      <c r="E51" s="6">
        <v>21000</v>
      </c>
      <c r="F51" s="6">
        <v>21300</v>
      </c>
      <c r="G51" s="6">
        <v>21700</v>
      </c>
      <c r="H51" s="6">
        <v>22000</v>
      </c>
      <c r="I51" s="6">
        <v>22000</v>
      </c>
      <c r="J51" s="6">
        <v>22000</v>
      </c>
      <c r="K51" s="6">
        <v>22000</v>
      </c>
      <c r="L51" s="6">
        <v>22000</v>
      </c>
      <c r="M51" s="6">
        <v>22000</v>
      </c>
      <c r="N51" s="6">
        <v>22000</v>
      </c>
      <c r="O51" s="6">
        <v>22000</v>
      </c>
      <c r="P51" s="6">
        <v>22000</v>
      </c>
      <c r="Q51" s="6">
        <v>22000</v>
      </c>
      <c r="R51" s="6">
        <v>22000</v>
      </c>
      <c r="S51" s="6">
        <v>22000</v>
      </c>
      <c r="T51" s="6">
        <v>22000</v>
      </c>
      <c r="U51" s="6">
        <v>22000</v>
      </c>
      <c r="V51" s="6">
        <v>22000</v>
      </c>
      <c r="W51" s="6">
        <v>22000</v>
      </c>
      <c r="X51" s="6">
        <v>22000</v>
      </c>
      <c r="Y51" s="6">
        <v>22000</v>
      </c>
    </row>
    <row r="52" spans="1:34" x14ac:dyDescent="0.25">
      <c r="A52" s="21" t="s">
        <v>216</v>
      </c>
      <c r="B52" s="6">
        <v>963200</v>
      </c>
      <c r="C52" s="6">
        <v>975500</v>
      </c>
      <c r="D52" s="6">
        <v>993500</v>
      </c>
      <c r="E52" s="6">
        <v>1011900</v>
      </c>
      <c r="F52" s="6">
        <v>1030600</v>
      </c>
      <c r="G52" s="6">
        <v>1049600</v>
      </c>
      <c r="H52" s="6">
        <v>1069000</v>
      </c>
      <c r="I52" s="6">
        <v>1069000</v>
      </c>
      <c r="J52" s="6">
        <v>1069000</v>
      </c>
      <c r="K52" s="6">
        <v>1069000</v>
      </c>
      <c r="L52" s="6">
        <v>1069000</v>
      </c>
      <c r="M52" s="6">
        <v>1069000</v>
      </c>
      <c r="N52" s="6">
        <v>1069000</v>
      </c>
      <c r="O52" s="6">
        <v>1069000</v>
      </c>
      <c r="P52" s="6">
        <v>1069000</v>
      </c>
      <c r="Q52" s="6">
        <v>1069000</v>
      </c>
      <c r="R52" s="6">
        <v>1069000</v>
      </c>
      <c r="S52" s="6">
        <v>1069000</v>
      </c>
      <c r="T52" s="6">
        <v>1069000</v>
      </c>
      <c r="U52" s="6">
        <v>1069000</v>
      </c>
      <c r="V52" s="6">
        <v>1069000</v>
      </c>
      <c r="W52" s="6">
        <v>1069000</v>
      </c>
      <c r="X52" s="6">
        <v>1069000</v>
      </c>
      <c r="Y52" s="6">
        <v>1069000</v>
      </c>
    </row>
    <row r="53" spans="1:34" x14ac:dyDescent="0.25">
      <c r="A53" s="21" t="s">
        <v>217</v>
      </c>
      <c r="B53" s="6">
        <v>53800</v>
      </c>
      <c r="C53" s="6">
        <v>54800</v>
      </c>
      <c r="D53" s="6">
        <v>56100</v>
      </c>
      <c r="E53" s="6">
        <v>57400</v>
      </c>
      <c r="F53" s="6">
        <v>58700</v>
      </c>
      <c r="G53" s="6">
        <v>60100</v>
      </c>
      <c r="H53" s="6">
        <v>61500</v>
      </c>
      <c r="I53" s="6">
        <v>61500</v>
      </c>
      <c r="J53" s="6">
        <v>61500</v>
      </c>
      <c r="K53" s="6">
        <v>61500</v>
      </c>
      <c r="L53" s="6">
        <v>61500</v>
      </c>
      <c r="M53" s="6">
        <v>61500</v>
      </c>
      <c r="N53" s="6">
        <v>61500</v>
      </c>
      <c r="O53" s="6">
        <v>61500</v>
      </c>
      <c r="P53" s="6">
        <v>61500</v>
      </c>
      <c r="Q53" s="6">
        <v>61500</v>
      </c>
      <c r="R53" s="6">
        <v>61500</v>
      </c>
      <c r="S53" s="6">
        <v>61500</v>
      </c>
      <c r="T53" s="6">
        <v>61500</v>
      </c>
      <c r="U53" s="6">
        <v>61500</v>
      </c>
      <c r="V53" s="6">
        <v>61500</v>
      </c>
      <c r="W53" s="6">
        <v>61500</v>
      </c>
      <c r="X53" s="6">
        <v>61500</v>
      </c>
      <c r="Y53" s="6">
        <v>61500</v>
      </c>
    </row>
    <row r="54" spans="1:34" ht="15.75" thickBot="1" x14ac:dyDescent="0.3">
      <c r="A54" s="22" t="s">
        <v>218</v>
      </c>
      <c r="B54" s="6">
        <v>2500</v>
      </c>
      <c r="C54" s="6">
        <v>2500</v>
      </c>
      <c r="D54" s="6">
        <v>2500</v>
      </c>
      <c r="E54" s="6">
        <v>2500</v>
      </c>
      <c r="F54" s="6">
        <v>2500</v>
      </c>
      <c r="G54" s="6">
        <v>2500</v>
      </c>
      <c r="H54" s="6">
        <v>2500</v>
      </c>
      <c r="I54" s="6">
        <v>2500</v>
      </c>
      <c r="J54" s="6">
        <v>2500</v>
      </c>
      <c r="K54" s="6">
        <v>2500</v>
      </c>
      <c r="L54" s="6">
        <v>2500</v>
      </c>
      <c r="M54" s="6">
        <v>2500</v>
      </c>
      <c r="N54" s="6">
        <v>2500</v>
      </c>
      <c r="O54" s="6">
        <v>2500</v>
      </c>
      <c r="P54" s="6">
        <v>2500</v>
      </c>
      <c r="Q54" s="6">
        <v>2500</v>
      </c>
      <c r="R54" s="6">
        <v>2500</v>
      </c>
      <c r="S54" s="6">
        <v>2500</v>
      </c>
      <c r="T54" s="6">
        <v>2500</v>
      </c>
      <c r="U54" s="6">
        <v>2500</v>
      </c>
      <c r="V54" s="6">
        <v>2500</v>
      </c>
      <c r="W54" s="6">
        <v>2500</v>
      </c>
      <c r="X54" s="6">
        <v>2500</v>
      </c>
      <c r="Y54" s="6">
        <v>2500</v>
      </c>
    </row>
    <row r="55" spans="1:34" x14ac:dyDescent="0.25">
      <c r="A55" s="4" t="s">
        <v>221</v>
      </c>
    </row>
    <row r="56" spans="1:34" x14ac:dyDescent="0.25">
      <c r="B56" s="76"/>
    </row>
    <row r="57" spans="1:34" ht="20.25" thickBot="1" x14ac:dyDescent="0.35">
      <c r="A57" s="19" t="s">
        <v>262</v>
      </c>
      <c r="B57" s="76"/>
    </row>
    <row r="58" spans="1:34" ht="15.75" thickTop="1" x14ac:dyDescent="0.25">
      <c r="F58" s="7"/>
    </row>
    <row r="59" spans="1:34" s="74" customFormat="1" ht="45" x14ac:dyDescent="0.25">
      <c r="A59" s="133" t="s">
        <v>42</v>
      </c>
      <c r="B59" s="15" t="s">
        <v>245</v>
      </c>
      <c r="C59" s="15" t="s">
        <v>246</v>
      </c>
      <c r="D59" s="15" t="s">
        <v>247</v>
      </c>
      <c r="F59" s="15" t="s">
        <v>48</v>
      </c>
      <c r="G59" s="15" t="s">
        <v>67</v>
      </c>
      <c r="H59" s="15" t="s">
        <v>248</v>
      </c>
      <c r="I59" s="15" t="s">
        <v>249</v>
      </c>
      <c r="J59" s="15" t="s">
        <v>250</v>
      </c>
      <c r="K59" s="15" t="s">
        <v>251</v>
      </c>
      <c r="L59" s="15" t="s">
        <v>45</v>
      </c>
      <c r="M59" s="15" t="s">
        <v>33</v>
      </c>
      <c r="O59" s="15" t="s">
        <v>214</v>
      </c>
      <c r="P59" s="15" t="s">
        <v>254</v>
      </c>
      <c r="Q59" s="15" t="s">
        <v>215</v>
      </c>
      <c r="R59" s="15" t="s">
        <v>255</v>
      </c>
      <c r="S59" s="15" t="s">
        <v>216</v>
      </c>
      <c r="T59" s="15" t="s">
        <v>256</v>
      </c>
      <c r="U59" s="15" t="s">
        <v>217</v>
      </c>
      <c r="V59" s="15" t="s">
        <v>257</v>
      </c>
      <c r="W59" s="15" t="s">
        <v>45</v>
      </c>
      <c r="X59" s="15" t="s">
        <v>33</v>
      </c>
      <c r="Z59" s="15" t="s">
        <v>258</v>
      </c>
      <c r="AA59" s="15" t="s">
        <v>259</v>
      </c>
      <c r="AB59" s="15" t="s">
        <v>260</v>
      </c>
      <c r="AC59" s="15" t="s">
        <v>261</v>
      </c>
      <c r="AD59" s="15" t="s">
        <v>45</v>
      </c>
      <c r="AE59" s="15" t="s">
        <v>33</v>
      </c>
      <c r="AG59" s="15" t="s">
        <v>45</v>
      </c>
      <c r="AH59" s="15" t="s">
        <v>33</v>
      </c>
    </row>
    <row r="60" spans="1:34" x14ac:dyDescent="0.25">
      <c r="A60" s="84">
        <f>B2</f>
        <v>2028</v>
      </c>
      <c r="B60" s="85">
        <f>$B$8*12</f>
        <v>122.48676666666668</v>
      </c>
      <c r="C60" s="85">
        <f>B60*'Inputs &amp; Parameters'!$C$20/60</f>
        <v>2204.7618000000002</v>
      </c>
      <c r="D60" s="85">
        <f>B60*'Inputs &amp; Parameters'!$B$20</f>
        <v>16068.898916625703</v>
      </c>
      <c r="E60" s="90"/>
      <c r="F60" s="86">
        <f>(($B$9/$B$33)*'Inputs &amp; Parameters'!$B$7)+(('Barge - Liquid'!$B$72*$B$12)/'Barge - Liquid'!$B$71)</f>
        <v>2183471.1169636063</v>
      </c>
      <c r="G60" s="86">
        <f>(($B$9/$B$33)*'Inputs &amp; Parameters'!$B$7)+(('Barge - Liquid'!$B$72*4)/'Barge - Liquid'!$B$71)*VLOOKUP(A60,NPV!$B$4:$D$44,2,0)</f>
        <v>1848715.6017311106</v>
      </c>
      <c r="H60" s="86">
        <f>SUM(($B$4-1)*(C60+B60*$B$13)*$B$6,1*C60*$B$5)</f>
        <v>651384.62513333338</v>
      </c>
      <c r="I60" s="86">
        <f>H60*VLOOKUP(A60,NPV!$B$4:$D$44,2,0)</f>
        <v>542357.32723281579</v>
      </c>
      <c r="J60" s="86">
        <f>$B$11*0.5</f>
        <v>38500</v>
      </c>
      <c r="K60" s="86">
        <f>$B$11*0.5*VLOOKUP(A60,NPV!$B$4:$D$44,2,0)</f>
        <v>32055.956331774458</v>
      </c>
      <c r="L60" s="86">
        <f>F60+H60+J60</f>
        <v>2873355.7420969396</v>
      </c>
      <c r="M60" s="86">
        <f>SUM(G60,I60,K60)</f>
        <v>2423128.8852957012</v>
      </c>
      <c r="N60" s="8"/>
      <c r="O60" s="86">
        <f>$D60*HLOOKUP($A60,'Barge (Build) - Dry'!$A$43:$Y$48,2,FALSE)*HLOOKUP($A60,'Barge (Build) - Dry'!$A$49:$Y$54,2,FALSE)</f>
        <v>181151.74865965708</v>
      </c>
      <c r="P60" s="86">
        <f>$D60*HLOOKUP($A60,'Barge (Build) - Dry'!$A$43:$Y$48,2,FALSE)*HLOOKUP($A60,'Barge (Build) - Dry'!$A$49:$Y$54,2,FALSE)*VLOOKUP(A60,NPV!$B$4:$D$44,3,0)</f>
        <v>160857.56864276135</v>
      </c>
      <c r="Q60" s="86">
        <f>$D60*HLOOKUP($A60,'Barge (Build) - Dry'!$A$43:$Y$48,3,FALSE)*HLOOKUP($A60,'Barge (Build) - Dry'!$A$49:$Y$54,3,FALSE)</f>
        <v>0</v>
      </c>
      <c r="R60" s="86">
        <f>$D60*HLOOKUP($A60,'Barge (Build) - Dry'!$A$43:$Y$48,3,FALSE)*HLOOKUP($A60,'Barge (Build) - Dry'!$A$49:$Y$54,3,FALSE)*VLOOKUP(A60,NPV!$B$4:$D$44,2,0)</f>
        <v>0</v>
      </c>
      <c r="S60" s="86">
        <f>$D60*HLOOKUP($A60,'Barge (Build) - Dry'!$A$43:$Y$48,4,FALSE)*HLOOKUP($A60,'Barge (Build) - Dry'!$A$49:$Y$54,4,FALSE)</f>
        <v>0</v>
      </c>
      <c r="T60" s="86">
        <f>$D60*HLOOKUP($A60,'Barge (Build) - Dry'!$A$43:$Y$48,4,FALSE)*HLOOKUP($A60,'Barge (Build) - Dry'!$A$49:$Y$54,4,FALSE)*VLOOKUP(A60,NPV!$B$4:$D$44,2,0)</f>
        <v>0</v>
      </c>
      <c r="U60" s="86">
        <f>$D60*HLOOKUP($A60,'Barge (Build) - Dry'!$A$43:$Y$48,5,FALSE)*HLOOKUP($A60,'Barge (Build) - Dry'!$A$49:$Y$54,5,FALSE)</f>
        <v>0</v>
      </c>
      <c r="V60" s="86">
        <f>$D60*HLOOKUP($A60,'Barge (Build) - Dry'!$A$43:$Y$48,5,FALSE)*HLOOKUP($A60,'Barge (Build) - Dry'!$A$49:$Y$54,5,FALSE)*VLOOKUP(A60,NPV!$B$4:$D$44,2,0)</f>
        <v>0</v>
      </c>
      <c r="W60" s="86">
        <f>SUM(O60,Q60,S60,U60)</f>
        <v>181151.74865965708</v>
      </c>
      <c r="X60" s="86">
        <f>SUM(P60,R60,T60,V60)</f>
        <v>160857.56864276135</v>
      </c>
      <c r="Z60" s="86">
        <f>$B$10*'Barge (Build) - Dry'!$F$23*'Inputs &amp; Parameters'!$B$45</f>
        <v>104.59218409565987</v>
      </c>
      <c r="AA60" s="86">
        <f>$B$10*'Barge (Build) - Dry'!$F$23*'Inputs &amp; Parameters'!$B$45*VLOOKUP(A60,NPV!$B$4:$D$44,2,0)</f>
        <v>87.085778857542536</v>
      </c>
      <c r="AB60" s="86">
        <f>$B$10*'Barge (Build) - Dry'!$E$23*'Inputs &amp; Parameters'!$B$44</f>
        <v>2013.2598436359044</v>
      </c>
      <c r="AC60" s="86">
        <f>$B$10*'Barge (Build) - Dry'!$E$23*'Inputs &amp; Parameters'!$B$44*VLOOKUP(A60,NPV!$B$4:$D$44,2,0)</f>
        <v>1676.284925509289</v>
      </c>
      <c r="AD60" s="86">
        <f>SUM(Z60,AB60)</f>
        <v>2117.8520277315642</v>
      </c>
      <c r="AE60" s="86">
        <f>SUM(AA60,AC60)</f>
        <v>1763.3707043668314</v>
      </c>
      <c r="AF60" s="145"/>
      <c r="AG60" s="86">
        <f t="shared" ref="AG60:AG79" si="4">SUM(L60,W60,AD60)</f>
        <v>3056625.3427843279</v>
      </c>
      <c r="AH60" s="86">
        <f>SUM(M60,X60,AE60)</f>
        <v>2585749.8246428296</v>
      </c>
    </row>
    <row r="61" spans="1:34" x14ac:dyDescent="0.25">
      <c r="A61" s="5">
        <f>A60+1</f>
        <v>2029</v>
      </c>
      <c r="B61" s="10">
        <f t="shared" ref="B61:B79" si="5">$B$8*12</f>
        <v>122.48676666666668</v>
      </c>
      <c r="C61" s="10">
        <f>B61*'Inputs &amp; Parameters'!$C$20/60</f>
        <v>2204.7618000000002</v>
      </c>
      <c r="D61" s="10">
        <f>B61*'Inputs &amp; Parameters'!$B$20</f>
        <v>16068.898916625703</v>
      </c>
      <c r="E61" s="90"/>
      <c r="F61" s="86">
        <f>(($B$9/$B$33)*'Inputs &amp; Parameters'!$B$7)+(('Barge - Liquid'!$B$72*$B$12)/'Barge - Liquid'!$B$71)</f>
        <v>2183471.1169636063</v>
      </c>
      <c r="G61" s="86">
        <f>(($B$9/$B$33)*'Inputs &amp; Parameters'!$B$7)+(('Barge - Liquid'!$B$72*4)/'Barge - Liquid'!$B$71)*VLOOKUP(A61,NPV!$B$4:$D$44,2,0)</f>
        <v>1798645.205001923</v>
      </c>
      <c r="H61" s="86">
        <f t="shared" ref="H61:H79" si="6">SUM(($B$4-1)*(C61+B61*$B$13)*$B$6,1*C61*$B$5)</f>
        <v>651384.62513333338</v>
      </c>
      <c r="I61" s="86">
        <f>H61*VLOOKUP(A61,NPV!$B$4:$D$44,2,0)</f>
        <v>526049.78393095627</v>
      </c>
      <c r="J61" s="86">
        <f t="shared" ref="J61:J79" si="7">$B$11*0.5</f>
        <v>38500</v>
      </c>
      <c r="K61" s="86">
        <f>$B$11*0.5*VLOOKUP(A61,NPV!$B$4:$D$44,2,0)</f>
        <v>31092.101194737599</v>
      </c>
      <c r="L61" s="86">
        <f t="shared" ref="L61:L79" si="8">F61+H61+J61</f>
        <v>2873355.7420969396</v>
      </c>
      <c r="M61" s="86">
        <f t="shared" ref="M61:M79" si="9">SUM(G61,I61,K61)</f>
        <v>2355787.0901276167</v>
      </c>
      <c r="N61" s="8"/>
      <c r="O61" s="86">
        <f>$D61*HLOOKUP($A61,'Barge (Build) - Dry'!$A$43:$Y$48,2,FALSE)*HLOOKUP($A61,'Barge (Build) - Dry'!$A$49:$Y$54,2,FALSE)</f>
        <v>183588.7676999215</v>
      </c>
      <c r="P61" s="86">
        <f>$D61*HLOOKUP($A61,'Barge (Build) - Dry'!$A$43:$Y$48,2,FALSE)*HLOOKUP($A61,'Barge (Build) - Dry'!$A$49:$Y$54,2,FALSE)*VLOOKUP(A61,NPV!$B$4:$D$44,3,0)</f>
        <v>159825.07040035201</v>
      </c>
      <c r="Q61" s="86">
        <f>$D61*HLOOKUP($A61,'Barge (Build) - Dry'!$A$43:$Y$48,3,FALSE)*HLOOKUP($A61,'Barge (Build) - Dry'!$A$49:$Y$54,3,FALSE)</f>
        <v>0</v>
      </c>
      <c r="R61" s="86">
        <f>$D61*HLOOKUP($A61,'Barge (Build) - Dry'!$A$43:$Y$48,3,FALSE)*HLOOKUP($A61,'Barge (Build) - Dry'!$A$49:$Y$54,3,FALSE)*VLOOKUP(A61,NPV!$B$4:$D$44,2,0)</f>
        <v>0</v>
      </c>
      <c r="S61" s="86">
        <f>$D61*HLOOKUP($A61,'Barge (Build) - Dry'!$A$43:$Y$48,4,FALSE)*HLOOKUP($A61,'Barge (Build) - Dry'!$A$49:$Y$54,4,FALSE)</f>
        <v>0</v>
      </c>
      <c r="T61" s="86">
        <f>$D61*HLOOKUP($A61,'Barge (Build) - Dry'!$A$43:$Y$48,4,FALSE)*HLOOKUP($A61,'Barge (Build) - Dry'!$A$49:$Y$54,4,FALSE)*VLOOKUP(A61,NPV!$B$4:$D$44,2,0)</f>
        <v>0</v>
      </c>
      <c r="U61" s="86">
        <f>$D61*HLOOKUP($A61,'Barge (Build) - Dry'!$A$43:$Y$48,5,FALSE)*HLOOKUP($A61,'Barge (Build) - Dry'!$A$49:$Y$54,5,FALSE)</f>
        <v>0</v>
      </c>
      <c r="V61" s="86">
        <f>$D61*HLOOKUP($A61,'Barge (Build) - Dry'!$A$43:$Y$48,5,FALSE)*HLOOKUP($A61,'Barge (Build) - Dry'!$A$49:$Y$54,5,FALSE)*VLOOKUP(A61,NPV!$B$4:$D$44,2,0)</f>
        <v>0</v>
      </c>
      <c r="W61" s="86">
        <f t="shared" ref="W61:W79" si="10">SUM(O61,Q61,S61,U61)</f>
        <v>183588.7676999215</v>
      </c>
      <c r="X61" s="86">
        <f t="shared" ref="X61:X79" si="11">SUM(P61,R61,T61,V61)</f>
        <v>159825.07040035201</v>
      </c>
      <c r="Z61" s="86">
        <f>$B$10*'Barge (Build) - Dry'!$F$23*'Inputs &amp; Parameters'!$B$45</f>
        <v>104.59218409565987</v>
      </c>
      <c r="AA61" s="86">
        <f>$B$10*'Barge (Build) - Dry'!$F$23*'Inputs &amp; Parameters'!$B$45*VLOOKUP(A61,NPV!$B$4:$D$44,2,0)</f>
        <v>84.467292781321589</v>
      </c>
      <c r="AB61" s="86">
        <f>$B$10*'Barge (Build) - Dry'!$E$23*'Inputs &amp; Parameters'!$B$44</f>
        <v>2013.2598436359044</v>
      </c>
      <c r="AC61" s="86">
        <f>$B$10*'Barge (Build) - Dry'!$E$23*'Inputs &amp; Parameters'!$B$44*VLOOKUP(A61,NPV!$B$4:$D$44,2,0)</f>
        <v>1625.8825659643931</v>
      </c>
      <c r="AD61" s="86">
        <f t="shared" ref="AD61:AD79" si="12">SUM(Z61,AB61)</f>
        <v>2117.8520277315642</v>
      </c>
      <c r="AE61" s="86">
        <f t="shared" ref="AE61:AE79" si="13">SUM(AA61,AC61)</f>
        <v>1710.3498587457148</v>
      </c>
      <c r="AF61" s="145"/>
      <c r="AG61" s="86">
        <f t="shared" si="4"/>
        <v>3059062.3618245926</v>
      </c>
      <c r="AH61" s="86">
        <f t="shared" ref="AH61:AH79" si="14">SUM(M61,X61,AE61)</f>
        <v>2517322.5103867147</v>
      </c>
    </row>
    <row r="62" spans="1:34" x14ac:dyDescent="0.25">
      <c r="A62" s="5">
        <f t="shared" ref="A62:A79" si="15">A61+1</f>
        <v>2030</v>
      </c>
      <c r="B62" s="10">
        <f t="shared" si="5"/>
        <v>122.48676666666668</v>
      </c>
      <c r="C62" s="10">
        <f>B62*'Inputs &amp; Parameters'!$C$20/60</f>
        <v>2204.7618000000002</v>
      </c>
      <c r="D62" s="10">
        <f>B62*'Inputs &amp; Parameters'!$B$20</f>
        <v>16068.898916625703</v>
      </c>
      <c r="E62" s="90"/>
      <c r="F62" s="86">
        <f>(($B$9/$B$33)*'Inputs &amp; Parameters'!$B$7)+(('Barge - Liquid'!$B$72*$B$12)/'Barge - Liquid'!$B$71)</f>
        <v>2183471.1169636063</v>
      </c>
      <c r="G62" s="86">
        <f>(($B$9/$B$33)*'Inputs &amp; Parameters'!$B$7)+(('Barge - Liquid'!$B$72*4)/'Barge - Liquid'!$B$71)*VLOOKUP(A62,NPV!$B$4:$D$44,2,0)</f>
        <v>1750080.3197165809</v>
      </c>
      <c r="H62" s="86">
        <f t="shared" si="6"/>
        <v>651384.62513333338</v>
      </c>
      <c r="I62" s="86">
        <f>H62*VLOOKUP(A62,NPV!$B$4:$D$44,2,0)</f>
        <v>510232.57413283829</v>
      </c>
      <c r="J62" s="86">
        <f t="shared" si="7"/>
        <v>38500</v>
      </c>
      <c r="K62" s="86">
        <f>$B$11*0.5*VLOOKUP(A62,NPV!$B$4:$D$44,2,0)</f>
        <v>30157.227152994761</v>
      </c>
      <c r="L62" s="86">
        <f t="shared" si="8"/>
        <v>2873355.7420969396</v>
      </c>
      <c r="M62" s="86">
        <f t="shared" si="9"/>
        <v>2290470.1210024143</v>
      </c>
      <c r="N62" s="8"/>
      <c r="O62" s="86">
        <f>$D62*HLOOKUP($A62,'Barge (Build) - Dry'!$A$43:$Y$48,2,FALSE)*HLOOKUP($A62,'Barge (Build) - Dry'!$A$49:$Y$54,2,FALSE)</f>
        <v>186838.12642027411</v>
      </c>
      <c r="P62" s="86">
        <f>$D62*HLOOKUP($A62,'Barge (Build) - Dry'!$A$43:$Y$48,2,FALSE)*HLOOKUP($A62,'Barge (Build) - Dry'!$A$49:$Y$54,2,FALSE)*VLOOKUP(A62,NPV!$B$4:$D$44,3,0)</f>
        <v>159464.54187090477</v>
      </c>
      <c r="Q62" s="86">
        <f>$D62*HLOOKUP($A62,'Barge (Build) - Dry'!$A$43:$Y$48,3,FALSE)*HLOOKUP($A62,'Barge (Build) - Dry'!$A$49:$Y$54,3,FALSE)</f>
        <v>0</v>
      </c>
      <c r="R62" s="86">
        <f>$D62*HLOOKUP($A62,'Barge (Build) - Dry'!$A$43:$Y$48,3,FALSE)*HLOOKUP($A62,'Barge (Build) - Dry'!$A$49:$Y$54,3,FALSE)*VLOOKUP(A62,NPV!$B$4:$D$44,2,0)</f>
        <v>0</v>
      </c>
      <c r="S62" s="86">
        <f>$D62*HLOOKUP($A62,'Barge (Build) - Dry'!$A$43:$Y$48,4,FALSE)*HLOOKUP($A62,'Barge (Build) - Dry'!$A$49:$Y$54,4,FALSE)</f>
        <v>0</v>
      </c>
      <c r="T62" s="86">
        <f>$D62*HLOOKUP($A62,'Barge (Build) - Dry'!$A$43:$Y$48,4,FALSE)*HLOOKUP($A62,'Barge (Build) - Dry'!$A$49:$Y$54,4,FALSE)*VLOOKUP(A62,NPV!$B$4:$D$44,2,0)</f>
        <v>0</v>
      </c>
      <c r="U62" s="86">
        <f>$D62*HLOOKUP($A62,'Barge (Build) - Dry'!$A$43:$Y$48,5,FALSE)*HLOOKUP($A62,'Barge (Build) - Dry'!$A$49:$Y$54,5,FALSE)</f>
        <v>0</v>
      </c>
      <c r="V62" s="86">
        <f>$D62*HLOOKUP($A62,'Barge (Build) - Dry'!$A$43:$Y$48,5,FALSE)*HLOOKUP($A62,'Barge (Build) - Dry'!$A$49:$Y$54,5,FALSE)*VLOOKUP(A62,NPV!$B$4:$D$44,2,0)</f>
        <v>0</v>
      </c>
      <c r="W62" s="86">
        <f t="shared" si="10"/>
        <v>186838.12642027411</v>
      </c>
      <c r="X62" s="86">
        <f t="shared" si="11"/>
        <v>159464.54187090477</v>
      </c>
      <c r="Z62" s="86">
        <f>$B$10*'Barge (Build) - Dry'!$F$23*'Inputs &amp; Parameters'!$B$45</f>
        <v>104.59218409565987</v>
      </c>
      <c r="AA62" s="86">
        <f>$B$10*'Barge (Build) - Dry'!$F$23*'Inputs &amp; Parameters'!$B$45*VLOOKUP(A62,NPV!$B$4:$D$44,2,0)</f>
        <v>81.927539070147034</v>
      </c>
      <c r="AB62" s="86">
        <f>$B$10*'Barge (Build) - Dry'!$E$23*'Inputs &amp; Parameters'!$B$44</f>
        <v>2013.2598436359044</v>
      </c>
      <c r="AC62" s="86">
        <f>$B$10*'Barge (Build) - Dry'!$E$23*'Inputs &amp; Parameters'!$B$44*VLOOKUP(A62,NPV!$B$4:$D$44,2,0)</f>
        <v>1576.9956992865111</v>
      </c>
      <c r="AD62" s="86">
        <f t="shared" si="12"/>
        <v>2117.8520277315642</v>
      </c>
      <c r="AE62" s="86">
        <f t="shared" si="13"/>
        <v>1658.9232383566582</v>
      </c>
      <c r="AF62" s="145"/>
      <c r="AG62" s="86">
        <f t="shared" si="4"/>
        <v>3062311.720544945</v>
      </c>
      <c r="AH62" s="86">
        <f t="shared" si="14"/>
        <v>2451593.5861116755</v>
      </c>
    </row>
    <row r="63" spans="1:34" x14ac:dyDescent="0.25">
      <c r="A63" s="5">
        <f t="shared" si="15"/>
        <v>2031</v>
      </c>
      <c r="B63" s="10">
        <f t="shared" si="5"/>
        <v>122.48676666666668</v>
      </c>
      <c r="C63" s="10">
        <f>B63*'Inputs &amp; Parameters'!$C$20/60</f>
        <v>2204.7618000000002</v>
      </c>
      <c r="D63" s="10">
        <f>B63*'Inputs &amp; Parameters'!$B$20</f>
        <v>16068.898916625703</v>
      </c>
      <c r="E63" s="90"/>
      <c r="F63" s="86">
        <f>(($B$9/$B$33)*'Inputs &amp; Parameters'!$B$7)+(('Barge - Liquid'!$B$72*$B$12)/'Barge - Liquid'!$B$71)</f>
        <v>2183471.1169636063</v>
      </c>
      <c r="G63" s="86">
        <f>(($B$9/$B$33)*'Inputs &amp; Parameters'!$B$7)+(('Barge - Liquid'!$B$72*4)/'Barge - Liquid'!$B$71)*VLOOKUP(A63,NPV!$B$4:$D$44,2,0)</f>
        <v>1702975.6783146972</v>
      </c>
      <c r="H63" s="86">
        <f t="shared" si="6"/>
        <v>651384.62513333338</v>
      </c>
      <c r="I63" s="86">
        <f>H63*VLOOKUP(A63,NPV!$B$4:$D$44,2,0)</f>
        <v>494890.95454203524</v>
      </c>
      <c r="J63" s="86">
        <f t="shared" si="7"/>
        <v>38500</v>
      </c>
      <c r="K63" s="86">
        <f>$B$11*0.5*VLOOKUP(A63,NPV!$B$4:$D$44,2,0)</f>
        <v>29250.462806008502</v>
      </c>
      <c r="L63" s="86">
        <f t="shared" si="8"/>
        <v>2873355.7420969396</v>
      </c>
      <c r="M63" s="86">
        <f t="shared" si="9"/>
        <v>2227117.0956627405</v>
      </c>
      <c r="N63" s="8"/>
      <c r="O63" s="86">
        <f>$D63*HLOOKUP($A63,'Barge (Build) - Dry'!$A$43:$Y$48,2,FALSE)*HLOOKUP($A63,'Barge (Build) - Dry'!$A$49:$Y$54,2,FALSE)</f>
        <v>190087.48514062673</v>
      </c>
      <c r="P63" s="86">
        <f>$D63*HLOOKUP($A63,'Barge (Build) - Dry'!$A$43:$Y$48,2,FALSE)*HLOOKUP($A63,'Barge (Build) - Dry'!$A$49:$Y$54,2,FALSE)*VLOOKUP(A63,NPV!$B$4:$D$44,3,0)</f>
        <v>159056.70416791012</v>
      </c>
      <c r="Q63" s="86">
        <f>$D63*HLOOKUP($A63,'Barge (Build) - Dry'!$A$43:$Y$48,3,FALSE)*HLOOKUP($A63,'Barge (Build) - Dry'!$A$49:$Y$54,3,FALSE)</f>
        <v>0</v>
      </c>
      <c r="R63" s="86">
        <f>$D63*HLOOKUP($A63,'Barge (Build) - Dry'!$A$43:$Y$48,3,FALSE)*HLOOKUP($A63,'Barge (Build) - Dry'!$A$49:$Y$54,3,FALSE)*VLOOKUP(A63,NPV!$B$4:$D$44,2,0)</f>
        <v>0</v>
      </c>
      <c r="S63" s="86">
        <f>$D63*HLOOKUP($A63,'Barge (Build) - Dry'!$A$43:$Y$48,4,FALSE)*HLOOKUP($A63,'Barge (Build) - Dry'!$A$49:$Y$54,4,FALSE)</f>
        <v>0</v>
      </c>
      <c r="T63" s="86">
        <f>$D63*HLOOKUP($A63,'Barge (Build) - Dry'!$A$43:$Y$48,4,FALSE)*HLOOKUP($A63,'Barge (Build) - Dry'!$A$49:$Y$54,4,FALSE)*VLOOKUP(A63,NPV!$B$4:$D$44,2,0)</f>
        <v>0</v>
      </c>
      <c r="U63" s="86">
        <f>$D63*HLOOKUP($A63,'Barge (Build) - Dry'!$A$43:$Y$48,5,FALSE)*HLOOKUP($A63,'Barge (Build) - Dry'!$A$49:$Y$54,5,FALSE)</f>
        <v>0</v>
      </c>
      <c r="V63" s="86">
        <f>$D63*HLOOKUP($A63,'Barge (Build) - Dry'!$A$43:$Y$48,5,FALSE)*HLOOKUP($A63,'Barge (Build) - Dry'!$A$49:$Y$54,5,FALSE)*VLOOKUP(A63,NPV!$B$4:$D$44,2,0)</f>
        <v>0</v>
      </c>
      <c r="W63" s="86">
        <f t="shared" si="10"/>
        <v>190087.48514062673</v>
      </c>
      <c r="X63" s="86">
        <f t="shared" si="11"/>
        <v>159056.70416791012</v>
      </c>
      <c r="Z63" s="86">
        <f>$B$10*'Barge (Build) - Dry'!$F$23*'Inputs &amp; Parameters'!$B$45</f>
        <v>104.59218409565987</v>
      </c>
      <c r="AA63" s="86">
        <f>$B$10*'Barge (Build) - Dry'!$F$23*'Inputs &amp; Parameters'!$B$45*VLOOKUP(A63,NPV!$B$4:$D$44,2,0)</f>
        <v>79.464150407514097</v>
      </c>
      <c r="AB63" s="86">
        <f>$B$10*'Barge (Build) - Dry'!$E$23*'Inputs &amp; Parameters'!$B$44</f>
        <v>2013.2598436359044</v>
      </c>
      <c r="AC63" s="86">
        <f>$B$10*'Barge (Build) - Dry'!$E$23*'Inputs &amp; Parameters'!$B$44*VLOOKUP(A63,NPV!$B$4:$D$44,2,0)</f>
        <v>1529.5787577948704</v>
      </c>
      <c r="AD63" s="86">
        <f t="shared" si="12"/>
        <v>2117.8520277315642</v>
      </c>
      <c r="AE63" s="86">
        <f t="shared" si="13"/>
        <v>1609.0429082023845</v>
      </c>
      <c r="AF63" s="145"/>
      <c r="AG63" s="86">
        <f t="shared" si="4"/>
        <v>3065561.0792652979</v>
      </c>
      <c r="AH63" s="86">
        <f t="shared" si="14"/>
        <v>2387782.8427388528</v>
      </c>
    </row>
    <row r="64" spans="1:34" x14ac:dyDescent="0.25">
      <c r="A64" s="5">
        <f t="shared" si="15"/>
        <v>2032</v>
      </c>
      <c r="B64" s="10">
        <f t="shared" si="5"/>
        <v>122.48676666666668</v>
      </c>
      <c r="C64" s="10">
        <f>B64*'Inputs &amp; Parameters'!$C$20/60</f>
        <v>2204.7618000000002</v>
      </c>
      <c r="D64" s="10">
        <f>B64*'Inputs &amp; Parameters'!$B$20</f>
        <v>16068.898916625703</v>
      </c>
      <c r="E64" s="90"/>
      <c r="F64" s="86">
        <f>(($B$9/$B$33)*'Inputs &amp; Parameters'!$B$7)+(('Barge - Liquid'!$B$72*$B$12)/'Barge - Liquid'!$B$71)</f>
        <v>2183471.1169636063</v>
      </c>
      <c r="G64" s="86">
        <f>(($B$9/$B$33)*'Inputs &amp; Parameters'!$B$7)+(('Barge - Liquid'!$B$72*4)/'Barge - Liquid'!$B$71)*VLOOKUP(A64,NPV!$B$4:$D$44,2,0)</f>
        <v>1657287.3743361486</v>
      </c>
      <c r="H64" s="86">
        <f t="shared" si="6"/>
        <v>651384.62513333338</v>
      </c>
      <c r="I64" s="86">
        <f>H64*VLOOKUP(A64,NPV!$B$4:$D$44,2,0)</f>
        <v>480010.62516201288</v>
      </c>
      <c r="J64" s="86">
        <f t="shared" si="7"/>
        <v>38500</v>
      </c>
      <c r="K64" s="86">
        <f>$B$11*0.5*VLOOKUP(A64,NPV!$B$4:$D$44,2,0)</f>
        <v>28370.962954421437</v>
      </c>
      <c r="L64" s="86">
        <f t="shared" si="8"/>
        <v>2873355.7420969396</v>
      </c>
      <c r="M64" s="86">
        <f t="shared" si="9"/>
        <v>2165668.962452583</v>
      </c>
      <c r="N64" s="8"/>
      <c r="O64" s="86">
        <f>$D64*HLOOKUP($A64,'Barge (Build) - Dry'!$A$43:$Y$48,2,FALSE)*HLOOKUP($A64,'Barge (Build) - Dry'!$A$49:$Y$54,2,FALSE)</f>
        <v>192524.50418089115</v>
      </c>
      <c r="P64" s="86">
        <f>$D64*HLOOKUP($A64,'Barge (Build) - Dry'!$A$43:$Y$48,2,FALSE)*HLOOKUP($A64,'Barge (Build) - Dry'!$A$49:$Y$54,2,FALSE)*VLOOKUP(A64,NPV!$B$4:$D$44,3,0)</f>
        <v>157937.14968910129</v>
      </c>
      <c r="Q64" s="86">
        <f>$D64*HLOOKUP($A64,'Barge (Build) - Dry'!$A$43:$Y$48,3,FALSE)*HLOOKUP($A64,'Barge (Build) - Dry'!$A$49:$Y$54,3,FALSE)</f>
        <v>0</v>
      </c>
      <c r="R64" s="86">
        <f>$D64*HLOOKUP($A64,'Barge (Build) - Dry'!$A$43:$Y$48,3,FALSE)*HLOOKUP($A64,'Barge (Build) - Dry'!$A$49:$Y$54,3,FALSE)*VLOOKUP(A64,NPV!$B$4:$D$44,2,0)</f>
        <v>0</v>
      </c>
      <c r="S64" s="86">
        <f>$D64*HLOOKUP($A64,'Barge (Build) - Dry'!$A$43:$Y$48,4,FALSE)*HLOOKUP($A64,'Barge (Build) - Dry'!$A$49:$Y$54,4,FALSE)</f>
        <v>0</v>
      </c>
      <c r="T64" s="86">
        <f>$D64*HLOOKUP($A64,'Barge (Build) - Dry'!$A$43:$Y$48,4,FALSE)*HLOOKUP($A64,'Barge (Build) - Dry'!$A$49:$Y$54,4,FALSE)*VLOOKUP(A64,NPV!$B$4:$D$44,2,0)</f>
        <v>0</v>
      </c>
      <c r="U64" s="86">
        <f>$D64*HLOOKUP($A64,'Barge (Build) - Dry'!$A$43:$Y$48,5,FALSE)*HLOOKUP($A64,'Barge (Build) - Dry'!$A$49:$Y$54,5,FALSE)</f>
        <v>0</v>
      </c>
      <c r="V64" s="86">
        <f>$D64*HLOOKUP($A64,'Barge (Build) - Dry'!$A$43:$Y$48,5,FALSE)*HLOOKUP($A64,'Barge (Build) - Dry'!$A$49:$Y$54,5,FALSE)*VLOOKUP(A64,NPV!$B$4:$D$44,2,0)</f>
        <v>0</v>
      </c>
      <c r="W64" s="86">
        <f t="shared" si="10"/>
        <v>192524.50418089115</v>
      </c>
      <c r="X64" s="86">
        <f t="shared" si="11"/>
        <v>157937.14968910129</v>
      </c>
      <c r="Z64" s="86">
        <f>$B$10*'Barge (Build) - Dry'!$F$23*'Inputs &amp; Parameters'!$B$45</f>
        <v>104.59218409565987</v>
      </c>
      <c r="AA64" s="86">
        <f>$B$10*'Barge (Build) - Dry'!$F$23*'Inputs &amp; Parameters'!$B$45*VLOOKUP(A64,NPV!$B$4:$D$44,2,0)</f>
        <v>77.074830657142684</v>
      </c>
      <c r="AB64" s="86">
        <f>$B$10*'Barge (Build) - Dry'!$E$23*'Inputs &amp; Parameters'!$B$44</f>
        <v>2013.2598436359044</v>
      </c>
      <c r="AC64" s="86">
        <f>$B$10*'Barge (Build) - Dry'!$E$23*'Inputs &amp; Parameters'!$B$44*VLOOKUP(A64,NPV!$B$4:$D$44,2,0)</f>
        <v>1483.5875439329491</v>
      </c>
      <c r="AD64" s="86">
        <f t="shared" si="12"/>
        <v>2117.8520277315642</v>
      </c>
      <c r="AE64" s="86">
        <f t="shared" si="13"/>
        <v>1560.6623745900918</v>
      </c>
      <c r="AF64" s="145"/>
      <c r="AG64" s="86">
        <f t="shared" si="4"/>
        <v>3067998.098305562</v>
      </c>
      <c r="AH64" s="86">
        <f t="shared" si="14"/>
        <v>2325166.7745162742</v>
      </c>
    </row>
    <row r="65" spans="1:34" x14ac:dyDescent="0.25">
      <c r="A65" s="5">
        <f t="shared" si="15"/>
        <v>2033</v>
      </c>
      <c r="B65" s="10">
        <f t="shared" si="5"/>
        <v>122.48676666666668</v>
      </c>
      <c r="C65" s="10">
        <f>B65*'Inputs &amp; Parameters'!$C$20/60</f>
        <v>2204.7618000000002</v>
      </c>
      <c r="D65" s="10">
        <f>B65*'Inputs &amp; Parameters'!$B$20</f>
        <v>16068.898916625703</v>
      </c>
      <c r="E65" s="90"/>
      <c r="F65" s="86">
        <f>(($B$9/$B$33)*'Inputs &amp; Parameters'!$B$7)+(('Barge - Liquid'!$B$72*$B$12)/'Barge - Liquid'!$B$71)</f>
        <v>2183471.1169636063</v>
      </c>
      <c r="G65" s="86">
        <f>(($B$9/$B$33)*'Inputs &amp; Parameters'!$B$7)+(('Barge - Liquid'!$B$72*4)/'Barge - Liquid'!$B$71)*VLOOKUP(A65,NPV!$B$4:$D$44,2,0)</f>
        <v>1612972.8214956552</v>
      </c>
      <c r="H65" s="86">
        <f t="shared" si="6"/>
        <v>651384.62513333338</v>
      </c>
      <c r="I65" s="86">
        <f>H65*VLOOKUP(A65,NPV!$B$4:$D$44,2,0)</f>
        <v>465577.71596703486</v>
      </c>
      <c r="J65" s="86">
        <f t="shared" si="7"/>
        <v>38500</v>
      </c>
      <c r="K65" s="86">
        <f>$B$11*0.5*VLOOKUP(A65,NPV!$B$4:$D$44,2,0)</f>
        <v>27517.907812241941</v>
      </c>
      <c r="L65" s="86">
        <f t="shared" si="8"/>
        <v>2873355.7420969396</v>
      </c>
      <c r="M65" s="86">
        <f t="shared" si="9"/>
        <v>2106068.4452749323</v>
      </c>
      <c r="N65" s="8"/>
      <c r="O65" s="86">
        <f>$D65*HLOOKUP($A65,'Barge (Build) - Dry'!$A$43:$Y$48,2,FALSE)*HLOOKUP($A65,'Barge (Build) - Dry'!$A$49:$Y$54,2,FALSE)</f>
        <v>195773.86290124376</v>
      </c>
      <c r="P65" s="86">
        <f>$D65*HLOOKUP($A65,'Barge (Build) - Dry'!$A$43:$Y$48,2,FALSE)*HLOOKUP($A65,'Barge (Build) - Dry'!$A$49:$Y$54,2,FALSE)*VLOOKUP(A65,NPV!$B$4:$D$44,3,0)</f>
        <v>157453.68195198735</v>
      </c>
      <c r="Q65" s="86">
        <f>$D65*HLOOKUP($A65,'Barge (Build) - Dry'!$A$43:$Y$48,3,FALSE)*HLOOKUP($A65,'Barge (Build) - Dry'!$A$49:$Y$54,3,FALSE)</f>
        <v>0</v>
      </c>
      <c r="R65" s="86">
        <f>$D65*HLOOKUP($A65,'Barge (Build) - Dry'!$A$43:$Y$48,3,FALSE)*HLOOKUP($A65,'Barge (Build) - Dry'!$A$49:$Y$54,3,FALSE)*VLOOKUP(A65,NPV!$B$4:$D$44,2,0)</f>
        <v>0</v>
      </c>
      <c r="S65" s="86">
        <f>$D65*HLOOKUP($A65,'Barge (Build) - Dry'!$A$43:$Y$48,4,FALSE)*HLOOKUP($A65,'Barge (Build) - Dry'!$A$49:$Y$54,4,FALSE)</f>
        <v>0</v>
      </c>
      <c r="T65" s="86">
        <f>$D65*HLOOKUP($A65,'Barge (Build) - Dry'!$A$43:$Y$48,4,FALSE)*HLOOKUP($A65,'Barge (Build) - Dry'!$A$49:$Y$54,4,FALSE)*VLOOKUP(A65,NPV!$B$4:$D$44,2,0)</f>
        <v>0</v>
      </c>
      <c r="U65" s="86">
        <f>$D65*HLOOKUP($A65,'Barge (Build) - Dry'!$A$43:$Y$48,5,FALSE)*HLOOKUP($A65,'Barge (Build) - Dry'!$A$49:$Y$54,5,FALSE)</f>
        <v>0</v>
      </c>
      <c r="V65" s="86">
        <f>$D65*HLOOKUP($A65,'Barge (Build) - Dry'!$A$43:$Y$48,5,FALSE)*HLOOKUP($A65,'Barge (Build) - Dry'!$A$49:$Y$54,5,FALSE)*VLOOKUP(A65,NPV!$B$4:$D$44,2,0)</f>
        <v>0</v>
      </c>
      <c r="W65" s="86">
        <f t="shared" si="10"/>
        <v>195773.86290124376</v>
      </c>
      <c r="X65" s="86">
        <f t="shared" si="11"/>
        <v>157453.68195198735</v>
      </c>
      <c r="Z65" s="86">
        <f>$B$10*'Barge (Build) - Dry'!$F$23*'Inputs &amp; Parameters'!$B$45</f>
        <v>104.59218409565987</v>
      </c>
      <c r="AA65" s="86">
        <f>$B$10*'Barge (Build) - Dry'!$F$23*'Inputs &amp; Parameters'!$B$45*VLOOKUP(A65,NPV!$B$4:$D$44,2,0)</f>
        <v>74.757352722737821</v>
      </c>
      <c r="AB65" s="86">
        <f>$B$10*'Barge (Build) - Dry'!$E$23*'Inputs &amp; Parameters'!$B$44</f>
        <v>2013.2598436359044</v>
      </c>
      <c r="AC65" s="86">
        <f>$B$10*'Barge (Build) - Dry'!$E$23*'Inputs &amp; Parameters'!$B$44*VLOOKUP(A65,NPV!$B$4:$D$44,2,0)</f>
        <v>1438.9791890717258</v>
      </c>
      <c r="AD65" s="86">
        <f t="shared" si="12"/>
        <v>2117.8520277315642</v>
      </c>
      <c r="AE65" s="86">
        <f t="shared" si="13"/>
        <v>1513.7365417944636</v>
      </c>
      <c r="AF65" s="145"/>
      <c r="AG65" s="86">
        <f t="shared" si="4"/>
        <v>3071247.4570259149</v>
      </c>
      <c r="AH65" s="86">
        <f t="shared" si="14"/>
        <v>2265035.8637687145</v>
      </c>
    </row>
    <row r="66" spans="1:34" x14ac:dyDescent="0.25">
      <c r="A66" s="5">
        <f t="shared" si="15"/>
        <v>2034</v>
      </c>
      <c r="B66" s="10">
        <f t="shared" si="5"/>
        <v>122.48676666666668</v>
      </c>
      <c r="C66" s="10">
        <f>B66*'Inputs &amp; Parameters'!$C$20/60</f>
        <v>2204.7618000000002</v>
      </c>
      <c r="D66" s="10">
        <f>B66*'Inputs &amp; Parameters'!$B$20</f>
        <v>16068.898916625703</v>
      </c>
      <c r="E66" s="90"/>
      <c r="F66" s="86">
        <f>(($B$9/$B$33)*'Inputs &amp; Parameters'!$B$7)+(('Barge - Liquid'!$B$72*$B$12)/'Barge - Liquid'!$B$71)</f>
        <v>2183471.1169636063</v>
      </c>
      <c r="G66" s="86">
        <f>(($B$9/$B$33)*'Inputs &amp; Parameters'!$B$7)+(('Barge - Liquid'!$B$72*4)/'Barge - Liquid'!$B$71)*VLOOKUP(A66,NPV!$B$4:$D$44,2,0)</f>
        <v>1569990.713987902</v>
      </c>
      <c r="H66" s="86">
        <f t="shared" si="6"/>
        <v>651384.62513333338</v>
      </c>
      <c r="I66" s="86">
        <f>H66*VLOOKUP(A66,NPV!$B$4:$D$44,2,0)</f>
        <v>451578.77397384564</v>
      </c>
      <c r="J66" s="86">
        <f t="shared" si="7"/>
        <v>38500</v>
      </c>
      <c r="K66" s="86">
        <f>$B$11*0.5*VLOOKUP(A66,NPV!$B$4:$D$44,2,0)</f>
        <v>26690.502242717692</v>
      </c>
      <c r="L66" s="86">
        <f t="shared" si="8"/>
        <v>2873355.7420969396</v>
      </c>
      <c r="M66" s="86">
        <f t="shared" si="9"/>
        <v>2048259.9902044653</v>
      </c>
      <c r="N66" s="8"/>
      <c r="O66" s="86">
        <f>$D66*HLOOKUP($A66,'Barge (Build) - Dry'!$A$43:$Y$48,2,FALSE)*HLOOKUP($A66,'Barge (Build) - Dry'!$A$49:$Y$54,2,FALSE)</f>
        <v>199023.22162159634</v>
      </c>
      <c r="P66" s="86">
        <f>$D66*HLOOKUP($A66,'Barge (Build) - Dry'!$A$43:$Y$48,2,FALSE)*HLOOKUP($A66,'Barge (Build) - Dry'!$A$49:$Y$54,2,FALSE)*VLOOKUP(A66,NPV!$B$4:$D$44,3,0)</f>
        <v>156928.4520309043</v>
      </c>
      <c r="Q66" s="86">
        <f>$D66*HLOOKUP($A66,'Barge (Build) - Dry'!$A$43:$Y$48,3,FALSE)*HLOOKUP($A66,'Barge (Build) - Dry'!$A$49:$Y$54,3,FALSE)</f>
        <v>0</v>
      </c>
      <c r="R66" s="86">
        <f>$D66*HLOOKUP($A66,'Barge (Build) - Dry'!$A$43:$Y$48,3,FALSE)*HLOOKUP($A66,'Barge (Build) - Dry'!$A$49:$Y$54,3,FALSE)*VLOOKUP(A66,NPV!$B$4:$D$44,2,0)</f>
        <v>0</v>
      </c>
      <c r="S66" s="86">
        <f>$D66*HLOOKUP($A66,'Barge (Build) - Dry'!$A$43:$Y$48,4,FALSE)*HLOOKUP($A66,'Barge (Build) - Dry'!$A$49:$Y$54,4,FALSE)</f>
        <v>0</v>
      </c>
      <c r="T66" s="86">
        <f>$D66*HLOOKUP($A66,'Barge (Build) - Dry'!$A$43:$Y$48,4,FALSE)*HLOOKUP($A66,'Barge (Build) - Dry'!$A$49:$Y$54,4,FALSE)*VLOOKUP(A66,NPV!$B$4:$D$44,2,0)</f>
        <v>0</v>
      </c>
      <c r="U66" s="86">
        <f>$D66*HLOOKUP($A66,'Barge (Build) - Dry'!$A$43:$Y$48,5,FALSE)*HLOOKUP($A66,'Barge (Build) - Dry'!$A$49:$Y$54,5,FALSE)</f>
        <v>0</v>
      </c>
      <c r="V66" s="86">
        <f>$D66*HLOOKUP($A66,'Barge (Build) - Dry'!$A$43:$Y$48,5,FALSE)*HLOOKUP($A66,'Barge (Build) - Dry'!$A$49:$Y$54,5,FALSE)*VLOOKUP(A66,NPV!$B$4:$D$44,2,0)</f>
        <v>0</v>
      </c>
      <c r="W66" s="86">
        <f t="shared" si="10"/>
        <v>199023.22162159634</v>
      </c>
      <c r="X66" s="86">
        <f t="shared" si="11"/>
        <v>156928.4520309043</v>
      </c>
      <c r="Z66" s="86">
        <f>$B$10*'Barge (Build) - Dry'!$F$23*'Inputs &amp; Parameters'!$B$45</f>
        <v>104.59218409565987</v>
      </c>
      <c r="AA66" s="86">
        <f>$B$10*'Barge (Build) - Dry'!$F$23*'Inputs &amp; Parameters'!$B$45*VLOOKUP(A66,NPV!$B$4:$D$44,2,0)</f>
        <v>72.509556472102631</v>
      </c>
      <c r="AB66" s="86">
        <f>$B$10*'Barge (Build) - Dry'!$E$23*'Inputs &amp; Parameters'!$B$44</f>
        <v>2013.2598436359044</v>
      </c>
      <c r="AC66" s="86">
        <f>$B$10*'Barge (Build) - Dry'!$E$23*'Inputs &amp; Parameters'!$B$44*VLOOKUP(A66,NPV!$B$4:$D$44,2,0)</f>
        <v>1395.7121135516254</v>
      </c>
      <c r="AD66" s="86">
        <f t="shared" si="12"/>
        <v>2117.8520277315642</v>
      </c>
      <c r="AE66" s="86">
        <f t="shared" si="13"/>
        <v>1468.2216700237279</v>
      </c>
      <c r="AF66" s="145"/>
      <c r="AG66" s="86">
        <f t="shared" si="4"/>
        <v>3074496.8157462673</v>
      </c>
      <c r="AH66" s="86">
        <f t="shared" si="14"/>
        <v>2206656.6639053933</v>
      </c>
    </row>
    <row r="67" spans="1:34" x14ac:dyDescent="0.25">
      <c r="A67" s="5">
        <f t="shared" si="15"/>
        <v>2035</v>
      </c>
      <c r="B67" s="10">
        <f t="shared" si="5"/>
        <v>122.48676666666668</v>
      </c>
      <c r="C67" s="10">
        <f>B67*'Inputs &amp; Parameters'!$C$20/60</f>
        <v>2204.7618000000002</v>
      </c>
      <c r="D67" s="10">
        <f>B67*'Inputs &amp; Parameters'!$B$20</f>
        <v>16068.898916625703</v>
      </c>
      <c r="E67" s="90"/>
      <c r="F67" s="86">
        <f>(($B$9/$B$33)*'Inputs &amp; Parameters'!$B$7)+(('Barge - Liquid'!$B$72*$B$12)/'Barge - Liquid'!$B$71)</f>
        <v>2183471.1169636063</v>
      </c>
      <c r="G67" s="86">
        <f>(($B$9/$B$33)*'Inputs &amp; Parameters'!$B$7)+(('Barge - Liquid'!$B$72*4)/'Barge - Liquid'!$B$71)*VLOOKUP(A67,NPV!$B$4:$D$44,2,0)</f>
        <v>1528300.9879862017</v>
      </c>
      <c r="H67" s="86">
        <f t="shared" si="6"/>
        <v>651384.62513333338</v>
      </c>
      <c r="I67" s="86">
        <f>H67*VLOOKUP(A67,NPV!$B$4:$D$44,2,0)</f>
        <v>438000.75070208113</v>
      </c>
      <c r="J67" s="86">
        <f t="shared" si="7"/>
        <v>38500</v>
      </c>
      <c r="K67" s="86">
        <f>$B$11*0.5*VLOOKUP(A67,NPV!$B$4:$D$44,2,0)</f>
        <v>25887.975017184959</v>
      </c>
      <c r="L67" s="86">
        <f t="shared" si="8"/>
        <v>2873355.7420969396</v>
      </c>
      <c r="M67" s="86">
        <f t="shared" si="9"/>
        <v>1992189.7137054675</v>
      </c>
      <c r="N67" s="8"/>
      <c r="O67" s="86">
        <f>$D67*HLOOKUP($A67,'Barge (Build) - Dry'!$A$43:$Y$48,2,FALSE)*HLOOKUP($A67,'Barge (Build) - Dry'!$A$49:$Y$54,2,FALSE)</f>
        <v>201460.24066186079</v>
      </c>
      <c r="P67" s="86">
        <f>$D67*HLOOKUP($A67,'Barge (Build) - Dry'!$A$43:$Y$48,2,FALSE)*HLOOKUP($A67,'Barge (Build) - Dry'!$A$49:$Y$54,2,FALSE)*VLOOKUP(A67,NPV!$B$4:$D$44,3,0)</f>
        <v>155735.31854207389</v>
      </c>
      <c r="Q67" s="86">
        <f>$D67*HLOOKUP($A67,'Barge (Build) - Dry'!$A$43:$Y$48,3,FALSE)*HLOOKUP($A67,'Barge (Build) - Dry'!$A$49:$Y$54,3,FALSE)</f>
        <v>0</v>
      </c>
      <c r="R67" s="86">
        <f>$D67*HLOOKUP($A67,'Barge (Build) - Dry'!$A$43:$Y$48,3,FALSE)*HLOOKUP($A67,'Barge (Build) - Dry'!$A$49:$Y$54,3,FALSE)*VLOOKUP(A67,NPV!$B$4:$D$44,2,0)</f>
        <v>0</v>
      </c>
      <c r="S67" s="86">
        <f>$D67*HLOOKUP($A67,'Barge (Build) - Dry'!$A$43:$Y$48,4,FALSE)*HLOOKUP($A67,'Barge (Build) - Dry'!$A$49:$Y$54,4,FALSE)</f>
        <v>0</v>
      </c>
      <c r="T67" s="86">
        <f>$D67*HLOOKUP($A67,'Barge (Build) - Dry'!$A$43:$Y$48,4,FALSE)*HLOOKUP($A67,'Barge (Build) - Dry'!$A$49:$Y$54,4,FALSE)*VLOOKUP(A67,NPV!$B$4:$D$44,2,0)</f>
        <v>0</v>
      </c>
      <c r="U67" s="86">
        <f>$D67*HLOOKUP($A67,'Barge (Build) - Dry'!$A$43:$Y$48,5,FALSE)*HLOOKUP($A67,'Barge (Build) - Dry'!$A$49:$Y$54,5,FALSE)</f>
        <v>0</v>
      </c>
      <c r="V67" s="86">
        <f>$D67*HLOOKUP($A67,'Barge (Build) - Dry'!$A$43:$Y$48,5,FALSE)*HLOOKUP($A67,'Barge (Build) - Dry'!$A$49:$Y$54,5,FALSE)*VLOOKUP(A67,NPV!$B$4:$D$44,2,0)</f>
        <v>0</v>
      </c>
      <c r="W67" s="86">
        <f t="shared" si="10"/>
        <v>201460.24066186079</v>
      </c>
      <c r="X67" s="86">
        <f t="shared" si="11"/>
        <v>155735.31854207389</v>
      </c>
      <c r="Z67" s="86">
        <f>$B$10*'Barge (Build) - Dry'!$F$23*'Inputs &amp; Parameters'!$B$45</f>
        <v>104.59218409565987</v>
      </c>
      <c r="AA67" s="86">
        <f>$B$10*'Barge (Build) - Dry'!$F$23*'Inputs &amp; Parameters'!$B$45*VLOOKUP(A67,NPV!$B$4:$D$44,2,0)</f>
        <v>70.329346723668905</v>
      </c>
      <c r="AB67" s="86">
        <f>$B$10*'Barge (Build) - Dry'!$E$23*'Inputs &amp; Parameters'!$B$44</f>
        <v>2013.2598436359044</v>
      </c>
      <c r="AC67" s="86">
        <f>$B$10*'Barge (Build) - Dry'!$E$23*'Inputs &amp; Parameters'!$B$44*VLOOKUP(A67,NPV!$B$4:$D$44,2,0)</f>
        <v>1353.7459879259218</v>
      </c>
      <c r="AD67" s="86">
        <f t="shared" si="12"/>
        <v>2117.8520277315642</v>
      </c>
      <c r="AE67" s="86">
        <f t="shared" si="13"/>
        <v>1424.0753346495908</v>
      </c>
      <c r="AF67" s="145"/>
      <c r="AG67" s="86">
        <f t="shared" si="4"/>
        <v>3076933.834786532</v>
      </c>
      <c r="AH67" s="86">
        <f t="shared" si="14"/>
        <v>2149349.107582191</v>
      </c>
    </row>
    <row r="68" spans="1:34" x14ac:dyDescent="0.25">
      <c r="A68" s="5">
        <f t="shared" si="15"/>
        <v>2036</v>
      </c>
      <c r="B68" s="10">
        <f t="shared" si="5"/>
        <v>122.48676666666668</v>
      </c>
      <c r="C68" s="10">
        <f>B68*'Inputs &amp; Parameters'!$C$20/60</f>
        <v>2204.7618000000002</v>
      </c>
      <c r="D68" s="10">
        <f>B68*'Inputs &amp; Parameters'!$B$20</f>
        <v>16068.898916625703</v>
      </c>
      <c r="E68" s="90"/>
      <c r="F68" s="86">
        <f>(($B$9/$B$33)*'Inputs &amp; Parameters'!$B$7)+(('Barge - Liquid'!$B$72*$B$12)/'Barge - Liquid'!$B$71)</f>
        <v>2183471.1169636063</v>
      </c>
      <c r="G68" s="86">
        <f>(($B$9/$B$33)*'Inputs &amp; Parameters'!$B$7)+(('Barge - Liquid'!$B$72*4)/'Barge - Liquid'!$B$71)*VLOOKUP(A68,NPV!$B$4:$D$44,2,0)</f>
        <v>1487864.7842988104</v>
      </c>
      <c r="H68" s="86">
        <f t="shared" si="6"/>
        <v>651384.62513333338</v>
      </c>
      <c r="I68" s="86">
        <f>H68*VLOOKUP(A68,NPV!$B$4:$D$44,2,0)</f>
        <v>424830.99001171795</v>
      </c>
      <c r="J68" s="86">
        <f t="shared" si="7"/>
        <v>38500</v>
      </c>
      <c r="K68" s="86">
        <f>$B$11*0.5*VLOOKUP(A68,NPV!$B$4:$D$44,2,0)</f>
        <v>25109.57809620268</v>
      </c>
      <c r="L68" s="86">
        <f t="shared" si="8"/>
        <v>2873355.7420969396</v>
      </c>
      <c r="M68" s="86">
        <f t="shared" si="9"/>
        <v>1937805.3524067309</v>
      </c>
      <c r="N68" s="8"/>
      <c r="O68" s="86">
        <f>$D68*HLOOKUP($A68,'Barge (Build) - Dry'!$A$43:$Y$48,2,FALSE)*HLOOKUP($A68,'Barge (Build) - Dry'!$A$49:$Y$54,2,FALSE)</f>
        <v>204709.59938221338</v>
      </c>
      <c r="P68" s="86">
        <f>$D68*HLOOKUP($A68,'Barge (Build) - Dry'!$A$43:$Y$48,2,FALSE)*HLOOKUP($A68,'Barge (Build) - Dry'!$A$49:$Y$54,2,FALSE)*VLOOKUP(A68,NPV!$B$4:$D$44,3,0)</f>
        <v>155144.29266525386</v>
      </c>
      <c r="Q68" s="86">
        <f>$D68*HLOOKUP($A68,'Barge (Build) - Dry'!$A$43:$Y$48,3,FALSE)*HLOOKUP($A68,'Barge (Build) - Dry'!$A$49:$Y$54,3,FALSE)</f>
        <v>0</v>
      </c>
      <c r="R68" s="86">
        <f>$D68*HLOOKUP($A68,'Barge (Build) - Dry'!$A$43:$Y$48,3,FALSE)*HLOOKUP($A68,'Barge (Build) - Dry'!$A$49:$Y$54,3,FALSE)*VLOOKUP(A68,NPV!$B$4:$D$44,2,0)</f>
        <v>0</v>
      </c>
      <c r="S68" s="86">
        <f>$D68*HLOOKUP($A68,'Barge (Build) - Dry'!$A$43:$Y$48,4,FALSE)*HLOOKUP($A68,'Barge (Build) - Dry'!$A$49:$Y$54,4,FALSE)</f>
        <v>0</v>
      </c>
      <c r="T68" s="86">
        <f>$D68*HLOOKUP($A68,'Barge (Build) - Dry'!$A$43:$Y$48,4,FALSE)*HLOOKUP($A68,'Barge (Build) - Dry'!$A$49:$Y$54,4,FALSE)*VLOOKUP(A68,NPV!$B$4:$D$44,2,0)</f>
        <v>0</v>
      </c>
      <c r="U68" s="86">
        <f>$D68*HLOOKUP($A68,'Barge (Build) - Dry'!$A$43:$Y$48,5,FALSE)*HLOOKUP($A68,'Barge (Build) - Dry'!$A$49:$Y$54,5,FALSE)</f>
        <v>0</v>
      </c>
      <c r="V68" s="86">
        <f>$D68*HLOOKUP($A68,'Barge (Build) - Dry'!$A$43:$Y$48,5,FALSE)*HLOOKUP($A68,'Barge (Build) - Dry'!$A$49:$Y$54,5,FALSE)*VLOOKUP(A68,NPV!$B$4:$D$44,2,0)</f>
        <v>0</v>
      </c>
      <c r="W68" s="86">
        <f t="shared" si="10"/>
        <v>204709.59938221338</v>
      </c>
      <c r="X68" s="86">
        <f t="shared" si="11"/>
        <v>155144.29266525386</v>
      </c>
      <c r="Z68" s="86">
        <f>$B$10*'Barge (Build) - Dry'!$F$23*'Inputs &amp; Parameters'!$B$45</f>
        <v>104.59218409565987</v>
      </c>
      <c r="AA68" s="86">
        <f>$B$10*'Barge (Build) - Dry'!$F$23*'Inputs &amp; Parameters'!$B$45*VLOOKUP(A68,NPV!$B$4:$D$44,2,0)</f>
        <v>68.214691293568293</v>
      </c>
      <c r="AB68" s="86">
        <f>$B$10*'Barge (Build) - Dry'!$E$23*'Inputs &amp; Parameters'!$B$44</f>
        <v>2013.2598436359044</v>
      </c>
      <c r="AC68" s="86">
        <f>$B$10*'Barge (Build) - Dry'!$E$23*'Inputs &amp; Parameters'!$B$44*VLOOKUP(A68,NPV!$B$4:$D$44,2,0)</f>
        <v>1313.0416953694685</v>
      </c>
      <c r="AD68" s="86">
        <f t="shared" si="12"/>
        <v>2117.8520277315642</v>
      </c>
      <c r="AE68" s="86">
        <f t="shared" si="13"/>
        <v>1381.2563866630367</v>
      </c>
      <c r="AF68" s="145"/>
      <c r="AG68" s="86">
        <f t="shared" si="4"/>
        <v>3080183.1935068844</v>
      </c>
      <c r="AH68" s="86">
        <f t="shared" si="14"/>
        <v>2094330.9014586478</v>
      </c>
    </row>
    <row r="69" spans="1:34" x14ac:dyDescent="0.25">
      <c r="A69" s="5">
        <f t="shared" si="15"/>
        <v>2037</v>
      </c>
      <c r="B69" s="10">
        <f t="shared" si="5"/>
        <v>122.48676666666668</v>
      </c>
      <c r="C69" s="10">
        <f>B69*'Inputs &amp; Parameters'!$C$20/60</f>
        <v>2204.7618000000002</v>
      </c>
      <c r="D69" s="10">
        <f>B69*'Inputs &amp; Parameters'!$B$20</f>
        <v>16068.898916625703</v>
      </c>
      <c r="E69" s="90"/>
      <c r="F69" s="86">
        <f>(($B$9/$B$33)*'Inputs &amp; Parameters'!$B$7)+(('Barge - Liquid'!$B$72*$B$12)/'Barge - Liquid'!$B$71)</f>
        <v>2183471.1169636063</v>
      </c>
      <c r="G69" s="86">
        <f>(($B$9/$B$33)*'Inputs &amp; Parameters'!$B$7)+(('Barge - Liquid'!$B$72*4)/'Barge - Liquid'!$B$71)*VLOOKUP(A69,NPV!$B$4:$D$44,2,0)</f>
        <v>1448644.4121480915</v>
      </c>
      <c r="H69" s="86">
        <f t="shared" si="6"/>
        <v>651384.62513333338</v>
      </c>
      <c r="I69" s="86">
        <f>H69*VLOOKUP(A69,NPV!$B$4:$D$44,2,0)</f>
        <v>412057.21630622499</v>
      </c>
      <c r="J69" s="86">
        <f t="shared" si="7"/>
        <v>38500</v>
      </c>
      <c r="K69" s="86">
        <f>$B$11*0.5*VLOOKUP(A69,NPV!$B$4:$D$44,2,0)</f>
        <v>24354.585932301339</v>
      </c>
      <c r="L69" s="86">
        <f t="shared" si="8"/>
        <v>2873355.7420969396</v>
      </c>
      <c r="M69" s="86">
        <f t="shared" si="9"/>
        <v>1885056.2143866178</v>
      </c>
      <c r="N69" s="8"/>
      <c r="O69" s="86">
        <f>$D69*HLOOKUP($A69,'Barge (Build) - Dry'!$A$43:$Y$48,2,FALSE)*HLOOKUP($A69,'Barge (Build) - Dry'!$A$49:$Y$54,2,FALSE)</f>
        <v>207958.95810256599</v>
      </c>
      <c r="P69" s="86">
        <f>$D69*HLOOKUP($A69,'Barge (Build) - Dry'!$A$43:$Y$48,2,FALSE)*HLOOKUP($A69,'Barge (Build) - Dry'!$A$49:$Y$54,2,FALSE)*VLOOKUP(A69,NPV!$B$4:$D$44,3,0)</f>
        <v>154516.56910327185</v>
      </c>
      <c r="Q69" s="86">
        <f>$D69*HLOOKUP($A69,'Barge (Build) - Dry'!$A$43:$Y$48,3,FALSE)*HLOOKUP($A69,'Barge (Build) - Dry'!$A$49:$Y$54,3,FALSE)</f>
        <v>0</v>
      </c>
      <c r="R69" s="86">
        <f>$D69*HLOOKUP($A69,'Barge (Build) - Dry'!$A$43:$Y$48,3,FALSE)*HLOOKUP($A69,'Barge (Build) - Dry'!$A$49:$Y$54,3,FALSE)*VLOOKUP(A69,NPV!$B$4:$D$44,2,0)</f>
        <v>0</v>
      </c>
      <c r="S69" s="86">
        <f>$D69*HLOOKUP($A69,'Barge (Build) - Dry'!$A$43:$Y$48,4,FALSE)*HLOOKUP($A69,'Barge (Build) - Dry'!$A$49:$Y$54,4,FALSE)</f>
        <v>0</v>
      </c>
      <c r="T69" s="86">
        <f>$D69*HLOOKUP($A69,'Barge (Build) - Dry'!$A$43:$Y$48,4,FALSE)*HLOOKUP($A69,'Barge (Build) - Dry'!$A$49:$Y$54,4,FALSE)*VLOOKUP(A69,NPV!$B$4:$D$44,2,0)</f>
        <v>0</v>
      </c>
      <c r="U69" s="86">
        <f>$D69*HLOOKUP($A69,'Barge (Build) - Dry'!$A$43:$Y$48,5,FALSE)*HLOOKUP($A69,'Barge (Build) - Dry'!$A$49:$Y$54,5,FALSE)</f>
        <v>0</v>
      </c>
      <c r="V69" s="86">
        <f>$D69*HLOOKUP($A69,'Barge (Build) - Dry'!$A$43:$Y$48,5,FALSE)*HLOOKUP($A69,'Barge (Build) - Dry'!$A$49:$Y$54,5,FALSE)*VLOOKUP(A69,NPV!$B$4:$D$44,2,0)</f>
        <v>0</v>
      </c>
      <c r="W69" s="86">
        <f t="shared" si="10"/>
        <v>207958.95810256599</v>
      </c>
      <c r="X69" s="86">
        <f t="shared" si="11"/>
        <v>154516.56910327185</v>
      </c>
      <c r="Z69" s="86">
        <f>$B$10*'Barge (Build) - Dry'!$F$23*'Inputs &amp; Parameters'!$B$45</f>
        <v>104.59218409565987</v>
      </c>
      <c r="AA69" s="86">
        <f>$B$10*'Barge (Build) - Dry'!$F$23*'Inputs &amp; Parameters'!$B$45*VLOOKUP(A69,NPV!$B$4:$D$44,2,0)</f>
        <v>66.163619101424146</v>
      </c>
      <c r="AB69" s="86">
        <f>$B$10*'Barge (Build) - Dry'!$E$23*'Inputs &amp; Parameters'!$B$44</f>
        <v>2013.2598436359044</v>
      </c>
      <c r="AC69" s="86">
        <f>$B$10*'Barge (Build) - Dry'!$E$23*'Inputs &amp; Parameters'!$B$44*VLOOKUP(A69,NPV!$B$4:$D$44,2,0)</f>
        <v>1273.5612952177194</v>
      </c>
      <c r="AD69" s="86">
        <f t="shared" si="12"/>
        <v>2117.8520277315642</v>
      </c>
      <c r="AE69" s="86">
        <f t="shared" si="13"/>
        <v>1339.7249143191434</v>
      </c>
      <c r="AF69" s="145"/>
      <c r="AG69" s="86">
        <f t="shared" si="4"/>
        <v>3083432.5522272373</v>
      </c>
      <c r="AH69" s="86">
        <f t="shared" si="14"/>
        <v>2040912.5084042088</v>
      </c>
    </row>
    <row r="70" spans="1:34" x14ac:dyDescent="0.25">
      <c r="A70" s="5">
        <f t="shared" si="15"/>
        <v>2038</v>
      </c>
      <c r="B70" s="10">
        <f t="shared" si="5"/>
        <v>122.48676666666668</v>
      </c>
      <c r="C70" s="10">
        <f>B70*'Inputs &amp; Parameters'!$C$20/60</f>
        <v>2204.7618000000002</v>
      </c>
      <c r="D70" s="10">
        <f>B70*'Inputs &amp; Parameters'!$B$20</f>
        <v>16068.898916625703</v>
      </c>
      <c r="E70" s="90"/>
      <c r="F70" s="86">
        <f>(($B$9/$B$33)*'Inputs &amp; Parameters'!$B$7)+(('Barge - Liquid'!$B$72*$B$12)/'Barge - Liquid'!$B$71)</f>
        <v>2183471.1169636063</v>
      </c>
      <c r="G70" s="86">
        <f>(($B$9/$B$33)*'Inputs &amp; Parameters'!$B$7)+(('Barge - Liquid'!$B$72*4)/'Barge - Liquid'!$B$71)*VLOOKUP(A70,NPV!$B$4:$D$44,2,0)</f>
        <v>1410603.3140387614</v>
      </c>
      <c r="H70" s="86">
        <f t="shared" si="6"/>
        <v>651384.62513333338</v>
      </c>
      <c r="I70" s="86">
        <f>H70*VLOOKUP(A70,NPV!$B$4:$D$44,2,0)</f>
        <v>399667.52309042186</v>
      </c>
      <c r="J70" s="86">
        <f t="shared" si="7"/>
        <v>38500</v>
      </c>
      <c r="K70" s="86">
        <f>$B$11*0.5*VLOOKUP(A70,NPV!$B$4:$D$44,2,0)</f>
        <v>23622.294793696736</v>
      </c>
      <c r="L70" s="86">
        <f t="shared" si="8"/>
        <v>2873355.7420969396</v>
      </c>
      <c r="M70" s="86">
        <f t="shared" si="9"/>
        <v>1833893.1319228802</v>
      </c>
      <c r="N70" s="8"/>
      <c r="O70" s="86">
        <f>$D70*HLOOKUP($A70,'Barge (Build) - Dry'!$A$43:$Y$48,2,FALSE)*HLOOKUP($A70,'Barge (Build) - Dry'!$A$49:$Y$54,2,FALSE)</f>
        <v>210395.97714283041</v>
      </c>
      <c r="P70" s="86">
        <f>$D70*HLOOKUP($A70,'Barge (Build) - Dry'!$A$43:$Y$48,2,FALSE)*HLOOKUP($A70,'Barge (Build) - Dry'!$A$49:$Y$54,2,FALSE)*VLOOKUP(A70,NPV!$B$4:$D$44,3,0)</f>
        <v>153262.06877201056</v>
      </c>
      <c r="Q70" s="86">
        <f>$D70*HLOOKUP($A70,'Barge (Build) - Dry'!$A$43:$Y$48,3,FALSE)*HLOOKUP($A70,'Barge (Build) - Dry'!$A$49:$Y$54,3,FALSE)</f>
        <v>0</v>
      </c>
      <c r="R70" s="86">
        <f>$D70*HLOOKUP($A70,'Barge (Build) - Dry'!$A$43:$Y$48,3,FALSE)*HLOOKUP($A70,'Barge (Build) - Dry'!$A$49:$Y$54,3,FALSE)*VLOOKUP(A70,NPV!$B$4:$D$44,2,0)</f>
        <v>0</v>
      </c>
      <c r="S70" s="86">
        <f>$D70*HLOOKUP($A70,'Barge (Build) - Dry'!$A$43:$Y$48,4,FALSE)*HLOOKUP($A70,'Barge (Build) - Dry'!$A$49:$Y$54,4,FALSE)</f>
        <v>0</v>
      </c>
      <c r="T70" s="86">
        <f>$D70*HLOOKUP($A70,'Barge (Build) - Dry'!$A$43:$Y$48,4,FALSE)*HLOOKUP($A70,'Barge (Build) - Dry'!$A$49:$Y$54,4,FALSE)*VLOOKUP(A70,NPV!$B$4:$D$44,2,0)</f>
        <v>0</v>
      </c>
      <c r="U70" s="86">
        <f>$D70*HLOOKUP($A70,'Barge (Build) - Dry'!$A$43:$Y$48,5,FALSE)*HLOOKUP($A70,'Barge (Build) - Dry'!$A$49:$Y$54,5,FALSE)</f>
        <v>0</v>
      </c>
      <c r="V70" s="86">
        <f>$D70*HLOOKUP($A70,'Barge (Build) - Dry'!$A$43:$Y$48,5,FALSE)*HLOOKUP($A70,'Barge (Build) - Dry'!$A$49:$Y$54,5,FALSE)*VLOOKUP(A70,NPV!$B$4:$D$44,2,0)</f>
        <v>0</v>
      </c>
      <c r="W70" s="86">
        <f t="shared" si="10"/>
        <v>210395.97714283041</v>
      </c>
      <c r="X70" s="86">
        <f t="shared" si="11"/>
        <v>153262.06877201056</v>
      </c>
      <c r="Z70" s="86">
        <f>$B$10*'Barge (Build) - Dry'!$F$23*'Inputs &amp; Parameters'!$B$45</f>
        <v>104.59218409565987</v>
      </c>
      <c r="AA70" s="86">
        <f>$B$10*'Barge (Build) - Dry'!$F$23*'Inputs &amp; Parameters'!$B$45*VLOOKUP(A70,NPV!$B$4:$D$44,2,0)</f>
        <v>64.174218333098096</v>
      </c>
      <c r="AB70" s="86">
        <f>$B$10*'Barge (Build) - Dry'!$E$23*'Inputs &amp; Parameters'!$B$44</f>
        <v>2013.2598436359044</v>
      </c>
      <c r="AC70" s="86">
        <f>$B$10*'Barge (Build) - Dry'!$E$23*'Inputs &amp; Parameters'!$B$44*VLOOKUP(A70,NPV!$B$4:$D$44,2,0)</f>
        <v>1235.2679876020554</v>
      </c>
      <c r="AD70" s="86">
        <f t="shared" si="12"/>
        <v>2117.8520277315642</v>
      </c>
      <c r="AE70" s="86">
        <f t="shared" si="13"/>
        <v>1299.4422059351534</v>
      </c>
      <c r="AF70" s="145"/>
      <c r="AG70" s="86">
        <f t="shared" si="4"/>
        <v>3085869.5712675015</v>
      </c>
      <c r="AH70" s="86">
        <f t="shared" si="14"/>
        <v>1988454.6429008259</v>
      </c>
    </row>
    <row r="71" spans="1:34" x14ac:dyDescent="0.25">
      <c r="A71" s="5">
        <f t="shared" si="15"/>
        <v>2039</v>
      </c>
      <c r="B71" s="10">
        <f t="shared" si="5"/>
        <v>122.48676666666668</v>
      </c>
      <c r="C71" s="10">
        <f>B71*'Inputs &amp; Parameters'!$C$20/60</f>
        <v>2204.7618000000002</v>
      </c>
      <c r="D71" s="10">
        <f>B71*'Inputs &amp; Parameters'!$B$20</f>
        <v>16068.898916625703</v>
      </c>
      <c r="E71" s="90"/>
      <c r="F71" s="86">
        <f>(($B$9/$B$33)*'Inputs &amp; Parameters'!$B$7)+(('Barge - Liquid'!$B$72*$B$12)/'Barge - Liquid'!$B$71)</f>
        <v>2183471.1169636063</v>
      </c>
      <c r="G71" s="86">
        <f>(($B$9/$B$33)*'Inputs &amp; Parameters'!$B$7)+(('Barge - Liquid'!$B$72*4)/'Barge - Liquid'!$B$71)*VLOOKUP(A71,NPV!$B$4:$D$44,2,0)</f>
        <v>1373706.0316824766</v>
      </c>
      <c r="H71" s="86">
        <f t="shared" si="6"/>
        <v>651384.62513333338</v>
      </c>
      <c r="I71" s="86">
        <f>H71*VLOOKUP(A71,NPV!$B$4:$D$44,2,0)</f>
        <v>387650.36187237815</v>
      </c>
      <c r="J71" s="86">
        <f t="shared" si="7"/>
        <v>38500</v>
      </c>
      <c r="K71" s="86">
        <f>$B$11*0.5*VLOOKUP(A71,NPV!$B$4:$D$44,2,0)</f>
        <v>22912.022108338253</v>
      </c>
      <c r="L71" s="86">
        <f t="shared" si="8"/>
        <v>2873355.7420969396</v>
      </c>
      <c r="M71" s="86">
        <f t="shared" si="9"/>
        <v>1784268.415663193</v>
      </c>
      <c r="N71" s="8"/>
      <c r="O71" s="86">
        <f>$D71*HLOOKUP($A71,'Barge (Build) - Dry'!$A$43:$Y$48,2,FALSE)*HLOOKUP($A71,'Barge (Build) - Dry'!$A$49:$Y$54,2,FALSE)</f>
        <v>213645.33586318302</v>
      </c>
      <c r="P71" s="86">
        <f>$D71*HLOOKUP($A71,'Barge (Build) - Dry'!$A$43:$Y$48,2,FALSE)*HLOOKUP($A71,'Barge (Build) - Dry'!$A$49:$Y$54,2,FALSE)*VLOOKUP(A71,NPV!$B$4:$D$44,3,0)</f>
        <v>152577.50051873262</v>
      </c>
      <c r="Q71" s="86">
        <f>$D71*HLOOKUP($A71,'Barge (Build) - Dry'!$A$43:$Y$48,3,FALSE)*HLOOKUP($A71,'Barge (Build) - Dry'!$A$49:$Y$54,3,FALSE)</f>
        <v>0</v>
      </c>
      <c r="R71" s="86">
        <f>$D71*HLOOKUP($A71,'Barge (Build) - Dry'!$A$43:$Y$48,3,FALSE)*HLOOKUP($A71,'Barge (Build) - Dry'!$A$49:$Y$54,3,FALSE)*VLOOKUP(A71,NPV!$B$4:$D$44,2,0)</f>
        <v>0</v>
      </c>
      <c r="S71" s="86">
        <f>$D71*HLOOKUP($A71,'Barge (Build) - Dry'!$A$43:$Y$48,4,FALSE)*HLOOKUP($A71,'Barge (Build) - Dry'!$A$49:$Y$54,4,FALSE)</f>
        <v>0</v>
      </c>
      <c r="T71" s="86">
        <f>$D71*HLOOKUP($A71,'Barge (Build) - Dry'!$A$43:$Y$48,4,FALSE)*HLOOKUP($A71,'Barge (Build) - Dry'!$A$49:$Y$54,4,FALSE)*VLOOKUP(A71,NPV!$B$4:$D$44,2,0)</f>
        <v>0</v>
      </c>
      <c r="U71" s="86">
        <f>$D71*HLOOKUP($A71,'Barge (Build) - Dry'!$A$43:$Y$48,5,FALSE)*HLOOKUP($A71,'Barge (Build) - Dry'!$A$49:$Y$54,5,FALSE)</f>
        <v>0</v>
      </c>
      <c r="V71" s="86">
        <f>$D71*HLOOKUP($A71,'Barge (Build) - Dry'!$A$43:$Y$48,5,FALSE)*HLOOKUP($A71,'Barge (Build) - Dry'!$A$49:$Y$54,5,FALSE)*VLOOKUP(A71,NPV!$B$4:$D$44,2,0)</f>
        <v>0</v>
      </c>
      <c r="W71" s="86">
        <f t="shared" si="10"/>
        <v>213645.33586318302</v>
      </c>
      <c r="X71" s="86">
        <f t="shared" si="11"/>
        <v>152577.50051873262</v>
      </c>
      <c r="Z71" s="86">
        <f>$B$10*'Barge (Build) - Dry'!$F$23*'Inputs &amp; Parameters'!$B$45</f>
        <v>104.59218409565987</v>
      </c>
      <c r="AA71" s="86">
        <f>$B$10*'Barge (Build) - Dry'!$F$23*'Inputs &amp; Parameters'!$B$45*VLOOKUP(A71,NPV!$B$4:$D$44,2,0)</f>
        <v>62.244634658679054</v>
      </c>
      <c r="AB71" s="86">
        <f>$B$10*'Barge (Build) - Dry'!$E$23*'Inputs &amp; Parameters'!$B$44</f>
        <v>2013.2598436359044</v>
      </c>
      <c r="AC71" s="86">
        <f>$B$10*'Barge (Build) - Dry'!$E$23*'Inputs &amp; Parameters'!$B$44*VLOOKUP(A71,NPV!$B$4:$D$44,2,0)</f>
        <v>1198.1260791484533</v>
      </c>
      <c r="AD71" s="86">
        <f t="shared" si="12"/>
        <v>2117.8520277315642</v>
      </c>
      <c r="AE71" s="86">
        <f t="shared" si="13"/>
        <v>1260.3707138071325</v>
      </c>
      <c r="AF71" s="145"/>
      <c r="AG71" s="86">
        <f t="shared" si="4"/>
        <v>3089118.9299878539</v>
      </c>
      <c r="AH71" s="86">
        <f t="shared" si="14"/>
        <v>1938106.2868957329</v>
      </c>
    </row>
    <row r="72" spans="1:34" x14ac:dyDescent="0.25">
      <c r="A72" s="5">
        <f t="shared" si="15"/>
        <v>2040</v>
      </c>
      <c r="B72" s="10">
        <f t="shared" si="5"/>
        <v>122.48676666666668</v>
      </c>
      <c r="C72" s="10">
        <f>B72*'Inputs &amp; Parameters'!$C$20/60</f>
        <v>2204.7618000000002</v>
      </c>
      <c r="D72" s="10">
        <f>B72*'Inputs &amp; Parameters'!$B$20</f>
        <v>16068.898916625703</v>
      </c>
      <c r="E72" s="90"/>
      <c r="F72" s="86">
        <f>(($B$9/$B$33)*'Inputs &amp; Parameters'!$B$7)+(('Barge - Liquid'!$B$72*$B$12)/'Barge - Liquid'!$B$71)</f>
        <v>2183471.1169636063</v>
      </c>
      <c r="G72" s="86">
        <f>(($B$9/$B$33)*'Inputs &amp; Parameters'!$B$7)+(('Barge - Liquid'!$B$72*4)/'Barge - Liquid'!$B$71)*VLOOKUP(A72,NPV!$B$4:$D$44,2,0)</f>
        <v>1337918.1729469919</v>
      </c>
      <c r="H72" s="86">
        <f t="shared" si="6"/>
        <v>651384.62513333338</v>
      </c>
      <c r="I72" s="86">
        <f>H72*VLOOKUP(A72,NPV!$B$4:$D$44,2,0)</f>
        <v>375994.53139900893</v>
      </c>
      <c r="J72" s="86">
        <f t="shared" si="7"/>
        <v>38500</v>
      </c>
      <c r="K72" s="86">
        <f>$B$11*0.5*VLOOKUP(A72,NPV!$B$4:$D$44,2,0)</f>
        <v>22223.10582768017</v>
      </c>
      <c r="L72" s="86">
        <f t="shared" si="8"/>
        <v>2873355.7420969396</v>
      </c>
      <c r="M72" s="86">
        <f t="shared" si="9"/>
        <v>1736135.8101736808</v>
      </c>
      <c r="N72" s="8"/>
      <c r="O72" s="86">
        <f>$D72*HLOOKUP($A72,'Barge (Build) - Dry'!$A$43:$Y$48,2,FALSE)*HLOOKUP($A72,'Barge (Build) - Dry'!$A$49:$Y$54,2,FALSE)</f>
        <v>216894.69458353563</v>
      </c>
      <c r="P72" s="86">
        <f>$D72*HLOOKUP($A72,'Barge (Build) - Dry'!$A$43:$Y$48,2,FALSE)*HLOOKUP($A72,'Barge (Build) - Dry'!$A$49:$Y$54,2,FALSE)*VLOOKUP(A72,NPV!$B$4:$D$44,3,0)</f>
        <v>151860.85379296806</v>
      </c>
      <c r="Q72" s="86">
        <f>$D72*HLOOKUP($A72,'Barge (Build) - Dry'!$A$43:$Y$48,3,FALSE)*HLOOKUP($A72,'Barge (Build) - Dry'!$A$49:$Y$54,3,FALSE)</f>
        <v>0</v>
      </c>
      <c r="R72" s="86">
        <f>$D72*HLOOKUP($A72,'Barge (Build) - Dry'!$A$43:$Y$48,3,FALSE)*HLOOKUP($A72,'Barge (Build) - Dry'!$A$49:$Y$54,3,FALSE)*VLOOKUP(A72,NPV!$B$4:$D$44,2,0)</f>
        <v>0</v>
      </c>
      <c r="S72" s="86">
        <f>$D72*HLOOKUP($A72,'Barge (Build) - Dry'!$A$43:$Y$48,4,FALSE)*HLOOKUP($A72,'Barge (Build) - Dry'!$A$49:$Y$54,4,FALSE)</f>
        <v>0</v>
      </c>
      <c r="T72" s="86">
        <f>$D72*HLOOKUP($A72,'Barge (Build) - Dry'!$A$43:$Y$48,4,FALSE)*HLOOKUP($A72,'Barge (Build) - Dry'!$A$49:$Y$54,4,FALSE)*VLOOKUP(A72,NPV!$B$4:$D$44,2,0)</f>
        <v>0</v>
      </c>
      <c r="U72" s="86">
        <f>$D72*HLOOKUP($A72,'Barge (Build) - Dry'!$A$43:$Y$48,5,FALSE)*HLOOKUP($A72,'Barge (Build) - Dry'!$A$49:$Y$54,5,FALSE)</f>
        <v>0</v>
      </c>
      <c r="V72" s="86">
        <f>$D72*HLOOKUP($A72,'Barge (Build) - Dry'!$A$43:$Y$48,5,FALSE)*HLOOKUP($A72,'Barge (Build) - Dry'!$A$49:$Y$54,5,FALSE)*VLOOKUP(A72,NPV!$B$4:$D$44,2,0)</f>
        <v>0</v>
      </c>
      <c r="W72" s="86">
        <f t="shared" si="10"/>
        <v>216894.69458353563</v>
      </c>
      <c r="X72" s="86">
        <f t="shared" si="11"/>
        <v>151860.85379296806</v>
      </c>
      <c r="Z72" s="86">
        <f>$B$10*'Barge (Build) - Dry'!$F$23*'Inputs &amp; Parameters'!$B$45</f>
        <v>104.59218409565987</v>
      </c>
      <c r="AA72" s="86">
        <f>$B$10*'Barge (Build) - Dry'!$F$23*'Inputs &amp; Parameters'!$B$45*VLOOKUP(A72,NPV!$B$4:$D$44,2,0)</f>
        <v>60.373069504053404</v>
      </c>
      <c r="AB72" s="86">
        <f>$B$10*'Barge (Build) - Dry'!$E$23*'Inputs &amp; Parameters'!$B$44</f>
        <v>2013.2598436359044</v>
      </c>
      <c r="AC72" s="86">
        <f>$B$10*'Barge (Build) - Dry'!$E$23*'Inputs &amp; Parameters'!$B$44*VLOOKUP(A72,NPV!$B$4:$D$44,2,0)</f>
        <v>1162.1009497075204</v>
      </c>
      <c r="AD72" s="86">
        <f t="shared" si="12"/>
        <v>2117.8520277315642</v>
      </c>
      <c r="AE72" s="86">
        <f t="shared" si="13"/>
        <v>1222.4740192115737</v>
      </c>
      <c r="AF72" s="145"/>
      <c r="AG72" s="86">
        <f t="shared" si="4"/>
        <v>3092368.2887082067</v>
      </c>
      <c r="AH72" s="86">
        <f t="shared" si="14"/>
        <v>1889219.1379858602</v>
      </c>
    </row>
    <row r="73" spans="1:34" x14ac:dyDescent="0.25">
      <c r="A73" s="5">
        <f t="shared" si="15"/>
        <v>2041</v>
      </c>
      <c r="B73" s="10">
        <f t="shared" si="5"/>
        <v>122.48676666666668</v>
      </c>
      <c r="C73" s="10">
        <f>B73*'Inputs &amp; Parameters'!$C$20/60</f>
        <v>2204.7618000000002</v>
      </c>
      <c r="D73" s="10">
        <f>B73*'Inputs &amp; Parameters'!$B$20</f>
        <v>16068.898916625703</v>
      </c>
      <c r="E73" s="90"/>
      <c r="F73" s="86">
        <f>(($B$9/$B$33)*'Inputs &amp; Parameters'!$B$7)+(('Barge - Liquid'!$B$72*$B$12)/'Barge - Liquid'!$B$71)</f>
        <v>2183471.1169636063</v>
      </c>
      <c r="G73" s="86">
        <f>(($B$9/$B$33)*'Inputs &amp; Parameters'!$B$7)+(('Barge - Liquid'!$B$72*4)/'Barge - Liquid'!$B$71)*VLOOKUP(A73,NPV!$B$4:$D$44,2,0)</f>
        <v>1303206.379799092</v>
      </c>
      <c r="H73" s="86">
        <f t="shared" si="6"/>
        <v>651384.62513333338</v>
      </c>
      <c r="I73" s="86">
        <f>H73*VLOOKUP(A73,NPV!$B$4:$D$44,2,0)</f>
        <v>364689.16721533361</v>
      </c>
      <c r="J73" s="86">
        <f t="shared" si="7"/>
        <v>38500</v>
      </c>
      <c r="K73" s="86">
        <f>$B$11*0.5*VLOOKUP(A73,NPV!$B$4:$D$44,2,0)</f>
        <v>21554.903809583095</v>
      </c>
      <c r="L73" s="86">
        <f t="shared" si="8"/>
        <v>2873355.7420969396</v>
      </c>
      <c r="M73" s="86">
        <f t="shared" si="9"/>
        <v>1689450.4508240086</v>
      </c>
      <c r="N73" s="8"/>
      <c r="O73" s="86">
        <f>$D73*HLOOKUP($A73,'Barge (Build) - Dry'!$A$43:$Y$48,2,FALSE)*HLOOKUP($A73,'Barge (Build) - Dry'!$A$49:$Y$54,2,FALSE)</f>
        <v>220144.05330388818</v>
      </c>
      <c r="P73" s="86">
        <f>$D73*HLOOKUP($A73,'Barge (Build) - Dry'!$A$43:$Y$48,2,FALSE)*HLOOKUP($A73,'Barge (Build) - Dry'!$A$49:$Y$54,2,FALSE)*VLOOKUP(A73,NPV!$B$4:$D$44,3,0)</f>
        <v>151113.64976828353</v>
      </c>
      <c r="Q73" s="86">
        <f>$D73*HLOOKUP($A73,'Barge (Build) - Dry'!$A$43:$Y$48,3,FALSE)*HLOOKUP($A73,'Barge (Build) - Dry'!$A$49:$Y$54,3,FALSE)</f>
        <v>0</v>
      </c>
      <c r="R73" s="86">
        <f>$D73*HLOOKUP($A73,'Barge (Build) - Dry'!$A$43:$Y$48,3,FALSE)*HLOOKUP($A73,'Barge (Build) - Dry'!$A$49:$Y$54,3,FALSE)*VLOOKUP(A73,NPV!$B$4:$D$44,2,0)</f>
        <v>0</v>
      </c>
      <c r="S73" s="86">
        <f>$D73*HLOOKUP($A73,'Barge (Build) - Dry'!$A$43:$Y$48,4,FALSE)*HLOOKUP($A73,'Barge (Build) - Dry'!$A$49:$Y$54,4,FALSE)</f>
        <v>0</v>
      </c>
      <c r="T73" s="86">
        <f>$D73*HLOOKUP($A73,'Barge (Build) - Dry'!$A$43:$Y$48,4,FALSE)*HLOOKUP($A73,'Barge (Build) - Dry'!$A$49:$Y$54,4,FALSE)*VLOOKUP(A73,NPV!$B$4:$D$44,2,0)</f>
        <v>0</v>
      </c>
      <c r="U73" s="86">
        <f>$D73*HLOOKUP($A73,'Barge (Build) - Dry'!$A$43:$Y$48,5,FALSE)*HLOOKUP($A73,'Barge (Build) - Dry'!$A$49:$Y$54,5,FALSE)</f>
        <v>0</v>
      </c>
      <c r="V73" s="86">
        <f>$D73*HLOOKUP($A73,'Barge (Build) - Dry'!$A$43:$Y$48,5,FALSE)*HLOOKUP($A73,'Barge (Build) - Dry'!$A$49:$Y$54,5,FALSE)*VLOOKUP(A73,NPV!$B$4:$D$44,2,0)</f>
        <v>0</v>
      </c>
      <c r="W73" s="86">
        <f t="shared" si="10"/>
        <v>220144.05330388818</v>
      </c>
      <c r="X73" s="86">
        <f t="shared" si="11"/>
        <v>151113.64976828353</v>
      </c>
      <c r="Z73" s="86">
        <f>$B$10*'Barge (Build) - Dry'!$F$23*'Inputs &amp; Parameters'!$B$45</f>
        <v>104.59218409565987</v>
      </c>
      <c r="AA73" s="86">
        <f>$B$10*'Barge (Build) - Dry'!$F$23*'Inputs &amp; Parameters'!$B$45*VLOOKUP(A73,NPV!$B$4:$D$44,2,0)</f>
        <v>58.557778374445597</v>
      </c>
      <c r="AB73" s="86">
        <f>$B$10*'Barge (Build) - Dry'!$E$23*'Inputs &amp; Parameters'!$B$44</f>
        <v>2013.2598436359044</v>
      </c>
      <c r="AC73" s="86">
        <f>$B$10*'Barge (Build) - Dry'!$E$23*'Inputs &amp; Parameters'!$B$44*VLOOKUP(A73,NPV!$B$4:$D$44,2,0)</f>
        <v>1127.1590200848889</v>
      </c>
      <c r="AD73" s="86">
        <f t="shared" si="12"/>
        <v>2117.8520277315642</v>
      </c>
      <c r="AE73" s="86">
        <f t="shared" si="13"/>
        <v>1185.7167984593345</v>
      </c>
      <c r="AF73" s="145"/>
      <c r="AG73" s="86">
        <f t="shared" si="4"/>
        <v>3095617.6474285591</v>
      </c>
      <c r="AH73" s="86">
        <f t="shared" si="14"/>
        <v>1841749.8173907516</v>
      </c>
    </row>
    <row r="74" spans="1:34" x14ac:dyDescent="0.25">
      <c r="A74" s="5">
        <f t="shared" si="15"/>
        <v>2042</v>
      </c>
      <c r="B74" s="10">
        <f t="shared" si="5"/>
        <v>122.48676666666668</v>
      </c>
      <c r="C74" s="10">
        <f>B74*'Inputs &amp; Parameters'!$C$20/60</f>
        <v>2204.7618000000002</v>
      </c>
      <c r="D74" s="10">
        <f>B74*'Inputs &amp; Parameters'!$B$20</f>
        <v>16068.898916625703</v>
      </c>
      <c r="E74" s="90"/>
      <c r="F74" s="86">
        <f>(($B$9/$B$33)*'Inputs &amp; Parameters'!$B$7)+(('Barge - Liquid'!$B$72*$B$12)/'Barge - Liquid'!$B$71)</f>
        <v>2183471.1169636063</v>
      </c>
      <c r="G74" s="86">
        <f>(($B$9/$B$33)*'Inputs &amp; Parameters'!$B$7)+(('Barge - Liquid'!$B$72*4)/'Barge - Liquid'!$B$71)*VLOOKUP(A74,NPV!$B$4:$D$44,2,0)</f>
        <v>1269538.29721141</v>
      </c>
      <c r="H74" s="86">
        <f t="shared" si="6"/>
        <v>651384.62513333338</v>
      </c>
      <c r="I74" s="86">
        <f>H74*VLOOKUP(A74,NPV!$B$4:$D$44,2,0)</f>
        <v>353723.731537666</v>
      </c>
      <c r="J74" s="86">
        <f t="shared" si="7"/>
        <v>38500</v>
      </c>
      <c r="K74" s="86">
        <f>$B$11*0.5*VLOOKUP(A74,NPV!$B$4:$D$44,2,0)</f>
        <v>20906.793219770221</v>
      </c>
      <c r="L74" s="86">
        <f t="shared" si="8"/>
        <v>2873355.7420969396</v>
      </c>
      <c r="M74" s="86">
        <f t="shared" si="9"/>
        <v>1644168.8219688463</v>
      </c>
      <c r="N74" s="8"/>
      <c r="O74" s="86">
        <f>$D74*HLOOKUP($A74,'Barge (Build) - Dry'!$A$43:$Y$48,2,FALSE)*HLOOKUP($A74,'Barge (Build) - Dry'!$A$49:$Y$54,2,FALSE)</f>
        <v>223393.4120242408</v>
      </c>
      <c r="P74" s="86">
        <f>$D74*HLOOKUP($A74,'Barge (Build) - Dry'!$A$43:$Y$48,2,FALSE)*HLOOKUP($A74,'Barge (Build) - Dry'!$A$49:$Y$54,2,FALSE)*VLOOKUP(A74,NPV!$B$4:$D$44,3,0)</f>
        <v>150337.36229751096</v>
      </c>
      <c r="Q74" s="86">
        <f>$D74*HLOOKUP($A74,'Barge (Build) - Dry'!$A$43:$Y$48,3,FALSE)*HLOOKUP($A74,'Barge (Build) - Dry'!$A$49:$Y$54,3,FALSE)</f>
        <v>0</v>
      </c>
      <c r="R74" s="86">
        <f>$D74*HLOOKUP($A74,'Barge (Build) - Dry'!$A$43:$Y$48,3,FALSE)*HLOOKUP($A74,'Barge (Build) - Dry'!$A$49:$Y$54,3,FALSE)*VLOOKUP(A74,NPV!$B$4:$D$44,2,0)</f>
        <v>0</v>
      </c>
      <c r="S74" s="86">
        <f>$D74*HLOOKUP($A74,'Barge (Build) - Dry'!$A$43:$Y$48,4,FALSE)*HLOOKUP($A74,'Barge (Build) - Dry'!$A$49:$Y$54,4,FALSE)</f>
        <v>0</v>
      </c>
      <c r="T74" s="86">
        <f>$D74*HLOOKUP($A74,'Barge (Build) - Dry'!$A$43:$Y$48,4,FALSE)*HLOOKUP($A74,'Barge (Build) - Dry'!$A$49:$Y$54,4,FALSE)*VLOOKUP(A74,NPV!$B$4:$D$44,2,0)</f>
        <v>0</v>
      </c>
      <c r="U74" s="86">
        <f>$D74*HLOOKUP($A74,'Barge (Build) - Dry'!$A$43:$Y$48,5,FALSE)*HLOOKUP($A74,'Barge (Build) - Dry'!$A$49:$Y$54,5,FALSE)</f>
        <v>0</v>
      </c>
      <c r="V74" s="86">
        <f>$D74*HLOOKUP($A74,'Barge (Build) - Dry'!$A$43:$Y$48,5,FALSE)*HLOOKUP($A74,'Barge (Build) - Dry'!$A$49:$Y$54,5,FALSE)*VLOOKUP(A74,NPV!$B$4:$D$44,2,0)</f>
        <v>0</v>
      </c>
      <c r="W74" s="86">
        <f t="shared" si="10"/>
        <v>223393.4120242408</v>
      </c>
      <c r="X74" s="86">
        <f t="shared" si="11"/>
        <v>150337.36229751096</v>
      </c>
      <c r="Z74" s="86">
        <f>$B$10*'Barge (Build) - Dry'!$F$23*'Inputs &amp; Parameters'!$B$45</f>
        <v>104.59218409565987</v>
      </c>
      <c r="AA74" s="86">
        <f>$B$10*'Barge (Build) - Dry'!$F$23*'Inputs &amp; Parameters'!$B$45*VLOOKUP(A74,NPV!$B$4:$D$44,2,0)</f>
        <v>56.797069228366247</v>
      </c>
      <c r="AB74" s="86">
        <f>$B$10*'Barge (Build) - Dry'!$E$23*'Inputs &amp; Parameters'!$B$44</f>
        <v>2013.2598436359044</v>
      </c>
      <c r="AC74" s="86">
        <f>$B$10*'Barge (Build) - Dry'!$E$23*'Inputs &amp; Parameters'!$B$44*VLOOKUP(A74,NPV!$B$4:$D$44,2,0)</f>
        <v>1093.2677207418903</v>
      </c>
      <c r="AD74" s="86">
        <f t="shared" si="12"/>
        <v>2117.8520277315642</v>
      </c>
      <c r="AE74" s="86">
        <f t="shared" si="13"/>
        <v>1150.0647899702567</v>
      </c>
      <c r="AF74" s="145"/>
      <c r="AG74" s="86">
        <f t="shared" si="4"/>
        <v>3098867.006148912</v>
      </c>
      <c r="AH74" s="86">
        <f t="shared" si="14"/>
        <v>1795656.2490563274</v>
      </c>
    </row>
    <row r="75" spans="1:34" x14ac:dyDescent="0.25">
      <c r="A75" s="5">
        <f t="shared" si="15"/>
        <v>2043</v>
      </c>
      <c r="B75" s="10">
        <f t="shared" si="5"/>
        <v>122.48676666666668</v>
      </c>
      <c r="C75" s="10">
        <f>B75*'Inputs &amp; Parameters'!$C$20/60</f>
        <v>2204.7618000000002</v>
      </c>
      <c r="D75" s="10">
        <f>B75*'Inputs &amp; Parameters'!$B$20</f>
        <v>16068.898916625703</v>
      </c>
      <c r="E75" s="90"/>
      <c r="F75" s="86">
        <f>(($B$9/$B$33)*'Inputs &amp; Parameters'!$B$7)+(('Barge - Liquid'!$B$72*$B$12)/'Barge - Liquid'!$B$71)</f>
        <v>2183471.1169636063</v>
      </c>
      <c r="G75" s="86">
        <f>(($B$9/$B$33)*'Inputs &amp; Parameters'!$B$7)+(('Barge - Liquid'!$B$72*4)/'Barge - Liquid'!$B$71)*VLOOKUP(A75,NPV!$B$4:$D$44,2,0)</f>
        <v>1236882.5430041531</v>
      </c>
      <c r="H75" s="86">
        <f t="shared" si="6"/>
        <v>651384.62513333338</v>
      </c>
      <c r="I75" s="86">
        <f>H75*VLOOKUP(A75,NPV!$B$4:$D$44,2,0)</f>
        <v>343088.00343129586</v>
      </c>
      <c r="J75" s="86">
        <f t="shared" si="7"/>
        <v>38500</v>
      </c>
      <c r="K75" s="86">
        <f>$B$11*0.5*VLOOKUP(A75,NPV!$B$4:$D$44,2,0)</f>
        <v>20278.169951280524</v>
      </c>
      <c r="L75" s="86">
        <f t="shared" si="8"/>
        <v>2873355.7420969396</v>
      </c>
      <c r="M75" s="86">
        <f t="shared" si="9"/>
        <v>1600248.7163867294</v>
      </c>
      <c r="N75" s="8"/>
      <c r="O75" s="86">
        <f>$D75*HLOOKUP($A75,'Barge (Build) - Dry'!$A$43:$Y$48,2,FALSE)*HLOOKUP($A75,'Barge (Build) - Dry'!$A$49:$Y$54,2,FALSE)</f>
        <v>226642.77074459341</v>
      </c>
      <c r="P75" s="86">
        <f>$D75*HLOOKUP($A75,'Barge (Build) - Dry'!$A$43:$Y$48,2,FALSE)*HLOOKUP($A75,'Barge (Build) - Dry'!$A$49:$Y$54,2,FALSE)*VLOOKUP(A75,NPV!$B$4:$D$44,3,0)</f>
        <v>149533.41918362054</v>
      </c>
      <c r="Q75" s="86">
        <f>$D75*HLOOKUP($A75,'Barge (Build) - Dry'!$A$43:$Y$48,3,FALSE)*HLOOKUP($A75,'Barge (Build) - Dry'!$A$49:$Y$54,3,FALSE)</f>
        <v>0</v>
      </c>
      <c r="R75" s="86">
        <f>$D75*HLOOKUP($A75,'Barge (Build) - Dry'!$A$43:$Y$48,3,FALSE)*HLOOKUP($A75,'Barge (Build) - Dry'!$A$49:$Y$54,3,FALSE)*VLOOKUP(A75,NPV!$B$4:$D$44,2,0)</f>
        <v>0</v>
      </c>
      <c r="S75" s="86">
        <f>$D75*HLOOKUP($A75,'Barge (Build) - Dry'!$A$43:$Y$48,4,FALSE)*HLOOKUP($A75,'Barge (Build) - Dry'!$A$49:$Y$54,4,FALSE)</f>
        <v>0</v>
      </c>
      <c r="T75" s="86">
        <f>$D75*HLOOKUP($A75,'Barge (Build) - Dry'!$A$43:$Y$48,4,FALSE)*HLOOKUP($A75,'Barge (Build) - Dry'!$A$49:$Y$54,4,FALSE)*VLOOKUP(A75,NPV!$B$4:$D$44,2,0)</f>
        <v>0</v>
      </c>
      <c r="U75" s="86">
        <f>$D75*HLOOKUP($A75,'Barge (Build) - Dry'!$A$43:$Y$48,5,FALSE)*HLOOKUP($A75,'Barge (Build) - Dry'!$A$49:$Y$54,5,FALSE)</f>
        <v>0</v>
      </c>
      <c r="V75" s="86">
        <f>$D75*HLOOKUP($A75,'Barge (Build) - Dry'!$A$43:$Y$48,5,FALSE)*HLOOKUP($A75,'Barge (Build) - Dry'!$A$49:$Y$54,5,FALSE)*VLOOKUP(A75,NPV!$B$4:$D$44,2,0)</f>
        <v>0</v>
      </c>
      <c r="W75" s="86">
        <f t="shared" si="10"/>
        <v>226642.77074459341</v>
      </c>
      <c r="X75" s="86">
        <f t="shared" si="11"/>
        <v>149533.41918362054</v>
      </c>
      <c r="Z75" s="86">
        <f>$B$10*'Barge (Build) - Dry'!$F$23*'Inputs &amp; Parameters'!$B$45</f>
        <v>104.59218409565987</v>
      </c>
      <c r="AA75" s="86">
        <f>$B$10*'Barge (Build) - Dry'!$F$23*'Inputs &amp; Parameters'!$B$45*VLOOKUP(A75,NPV!$B$4:$D$44,2,0)</f>
        <v>55.08930090045223</v>
      </c>
      <c r="AB75" s="86">
        <f>$B$10*'Barge (Build) - Dry'!$E$23*'Inputs &amp; Parameters'!$B$44</f>
        <v>2013.2598436359044</v>
      </c>
      <c r="AC75" s="86">
        <f>$B$10*'Barge (Build) - Dry'!$E$23*'Inputs &amp; Parameters'!$B$44*VLOOKUP(A75,NPV!$B$4:$D$44,2,0)</f>
        <v>1060.3954614373331</v>
      </c>
      <c r="AD75" s="86">
        <f t="shared" si="12"/>
        <v>2117.8520277315642</v>
      </c>
      <c r="AE75" s="86">
        <f t="shared" si="13"/>
        <v>1115.4847623377852</v>
      </c>
      <c r="AF75" s="145"/>
      <c r="AG75" s="86">
        <f t="shared" si="4"/>
        <v>3102116.3648692644</v>
      </c>
      <c r="AH75" s="86">
        <f t="shared" si="14"/>
        <v>1750897.6203326876</v>
      </c>
    </row>
    <row r="76" spans="1:34" x14ac:dyDescent="0.25">
      <c r="A76" s="5">
        <f t="shared" si="15"/>
        <v>2044</v>
      </c>
      <c r="B76" s="10">
        <f t="shared" si="5"/>
        <v>122.48676666666668</v>
      </c>
      <c r="C76" s="10">
        <f>B76*'Inputs &amp; Parameters'!$C$20/60</f>
        <v>2204.7618000000002</v>
      </c>
      <c r="D76" s="10">
        <f>B76*'Inputs &amp; Parameters'!$B$20</f>
        <v>16068.898916625703</v>
      </c>
      <c r="E76" s="90"/>
      <c r="F76" s="86">
        <f>(($B$9/$B$33)*'Inputs &amp; Parameters'!$B$7)+(('Barge - Liquid'!$B$72*$B$12)/'Barge - Liquid'!$B$71)</f>
        <v>2183471.1169636063</v>
      </c>
      <c r="G76" s="86">
        <f>(($B$9/$B$33)*'Inputs &amp; Parameters'!$B$7)+(('Barge - Liquid'!$B$72*4)/'Barge - Liquid'!$B$71)*VLOOKUP(A76,NPV!$B$4:$D$44,2,0)</f>
        <v>1205208.6785936228</v>
      </c>
      <c r="H76" s="86">
        <f t="shared" si="6"/>
        <v>651384.62513333338</v>
      </c>
      <c r="I76" s="86">
        <f>H76*VLOOKUP(A76,NPV!$B$4:$D$44,2,0)</f>
        <v>332772.06928350718</v>
      </c>
      <c r="J76" s="86">
        <f t="shared" si="7"/>
        <v>38500</v>
      </c>
      <c r="K76" s="86">
        <f>$B$11*0.5*VLOOKUP(A76,NPV!$B$4:$D$44,2,0)</f>
        <v>19668.448061377814</v>
      </c>
      <c r="L76" s="86">
        <f t="shared" si="8"/>
        <v>2873355.7420969396</v>
      </c>
      <c r="M76" s="86">
        <f t="shared" si="9"/>
        <v>1557649.1959385076</v>
      </c>
      <c r="N76" s="8"/>
      <c r="O76" s="86">
        <f>$D76*HLOOKUP($A76,'Barge (Build) - Dry'!$A$43:$Y$48,2,FALSE)*HLOOKUP($A76,'Barge (Build) - Dry'!$A$49:$Y$54,2,FALSE)</f>
        <v>229892.12946494596</v>
      </c>
      <c r="P76" s="86">
        <f>$D76*HLOOKUP($A76,'Barge (Build) - Dry'!$A$43:$Y$48,2,FALSE)*HLOOKUP($A76,'Barge (Build) - Dry'!$A$49:$Y$54,2,FALSE)*VLOOKUP(A76,NPV!$B$4:$D$44,3,0)</f>
        <v>148703.20341894933</v>
      </c>
      <c r="Q76" s="86">
        <f>$D76*HLOOKUP($A76,'Barge (Build) - Dry'!$A$43:$Y$48,3,FALSE)*HLOOKUP($A76,'Barge (Build) - Dry'!$A$49:$Y$54,3,FALSE)</f>
        <v>0</v>
      </c>
      <c r="R76" s="86">
        <f>$D76*HLOOKUP($A76,'Barge (Build) - Dry'!$A$43:$Y$48,3,FALSE)*HLOOKUP($A76,'Barge (Build) - Dry'!$A$49:$Y$54,3,FALSE)*VLOOKUP(A76,NPV!$B$4:$D$44,2,0)</f>
        <v>0</v>
      </c>
      <c r="S76" s="86">
        <f>$D76*HLOOKUP($A76,'Barge (Build) - Dry'!$A$43:$Y$48,4,FALSE)*HLOOKUP($A76,'Barge (Build) - Dry'!$A$49:$Y$54,4,FALSE)</f>
        <v>0</v>
      </c>
      <c r="T76" s="86">
        <f>$D76*HLOOKUP($A76,'Barge (Build) - Dry'!$A$43:$Y$48,4,FALSE)*HLOOKUP($A76,'Barge (Build) - Dry'!$A$49:$Y$54,4,FALSE)*VLOOKUP(A76,NPV!$B$4:$D$44,2,0)</f>
        <v>0</v>
      </c>
      <c r="U76" s="86">
        <f>$D76*HLOOKUP($A76,'Barge (Build) - Dry'!$A$43:$Y$48,5,FALSE)*HLOOKUP($A76,'Barge (Build) - Dry'!$A$49:$Y$54,5,FALSE)</f>
        <v>0</v>
      </c>
      <c r="V76" s="86">
        <f>$D76*HLOOKUP($A76,'Barge (Build) - Dry'!$A$43:$Y$48,5,FALSE)*HLOOKUP($A76,'Barge (Build) - Dry'!$A$49:$Y$54,5,FALSE)*VLOOKUP(A76,NPV!$B$4:$D$44,2,0)</f>
        <v>0</v>
      </c>
      <c r="W76" s="86">
        <f t="shared" si="10"/>
        <v>229892.12946494596</v>
      </c>
      <c r="X76" s="86">
        <f t="shared" si="11"/>
        <v>148703.20341894933</v>
      </c>
      <c r="Z76" s="86">
        <f>$B$10*'Barge (Build) - Dry'!$F$23*'Inputs &amp; Parameters'!$B$45</f>
        <v>104.59218409565987</v>
      </c>
      <c r="AA76" s="86">
        <f>$B$10*'Barge (Build) - Dry'!$F$23*'Inputs &amp; Parameters'!$B$45*VLOOKUP(A76,NPV!$B$4:$D$44,2,0)</f>
        <v>53.43288157172865</v>
      </c>
      <c r="AB76" s="86">
        <f>$B$10*'Barge (Build) - Dry'!$E$23*'Inputs &amp; Parameters'!$B$44</f>
        <v>2013.2598436359044</v>
      </c>
      <c r="AC76" s="86">
        <f>$B$10*'Barge (Build) - Dry'!$E$23*'Inputs &amp; Parameters'!$B$44*VLOOKUP(A76,NPV!$B$4:$D$44,2,0)</f>
        <v>1028.5116017820885</v>
      </c>
      <c r="AD76" s="86">
        <f t="shared" si="12"/>
        <v>2117.8520277315642</v>
      </c>
      <c r="AE76" s="86">
        <f t="shared" si="13"/>
        <v>1081.9444833538171</v>
      </c>
      <c r="AF76" s="145"/>
      <c r="AG76" s="86">
        <f t="shared" si="4"/>
        <v>3105365.7235896168</v>
      </c>
      <c r="AH76" s="86">
        <f t="shared" si="14"/>
        <v>1707434.3438408107</v>
      </c>
    </row>
    <row r="77" spans="1:34" x14ac:dyDescent="0.25">
      <c r="A77" s="5">
        <f t="shared" si="15"/>
        <v>2045</v>
      </c>
      <c r="B77" s="10">
        <f t="shared" si="5"/>
        <v>122.48676666666668</v>
      </c>
      <c r="C77" s="10">
        <f>B77*'Inputs &amp; Parameters'!$C$20/60</f>
        <v>2204.7618000000002</v>
      </c>
      <c r="D77" s="10">
        <f>B77*'Inputs &amp; Parameters'!$B$20</f>
        <v>16068.898916625703</v>
      </c>
      <c r="E77" s="90"/>
      <c r="F77" s="86">
        <f>(($B$9/$B$33)*'Inputs &amp; Parameters'!$B$7)+(('Barge - Liquid'!$B$72*$B$12)/'Barge - Liquid'!$B$71)</f>
        <v>2183471.1169636063</v>
      </c>
      <c r="G77" s="86">
        <f>(($B$9/$B$33)*'Inputs &amp; Parameters'!$B$7)+(('Barge - Liquid'!$B$72*4)/'Barge - Liquid'!$B$71)*VLOOKUP(A77,NPV!$B$4:$D$44,2,0)</f>
        <v>1174487.1806202661</v>
      </c>
      <c r="H77" s="86">
        <f t="shared" si="6"/>
        <v>651384.62513333338</v>
      </c>
      <c r="I77" s="86">
        <f>H77*VLOOKUP(A77,NPV!$B$4:$D$44,2,0)</f>
        <v>322766.31356305251</v>
      </c>
      <c r="J77" s="86">
        <f t="shared" si="7"/>
        <v>38500</v>
      </c>
      <c r="K77" s="86">
        <f>$B$11*0.5*VLOOKUP(A77,NPV!$B$4:$D$44,2,0)</f>
        <v>19077.059225390702</v>
      </c>
      <c r="L77" s="86">
        <f t="shared" si="8"/>
        <v>2873355.7420969396</v>
      </c>
      <c r="M77" s="86">
        <f t="shared" si="9"/>
        <v>1516330.5534087094</v>
      </c>
      <c r="N77" s="8"/>
      <c r="O77" s="86">
        <f>$D77*HLOOKUP($A77,'Barge (Build) - Dry'!$A$43:$Y$48,2,FALSE)*HLOOKUP($A77,'Barge (Build) - Dry'!$A$49:$Y$54,2,FALSE)</f>
        <v>233141.48818529857</v>
      </c>
      <c r="P77" s="86">
        <f>$D77*HLOOKUP($A77,'Barge (Build) - Dry'!$A$43:$Y$48,2,FALSE)*HLOOKUP($A77,'Barge (Build) - Dry'!$A$49:$Y$54,2,FALSE)*VLOOKUP(A77,NPV!$B$4:$D$44,3,0)</f>
        <v>147848.05439353726</v>
      </c>
      <c r="Q77" s="86">
        <f>$D77*HLOOKUP($A77,'Barge (Build) - Dry'!$A$43:$Y$48,3,FALSE)*HLOOKUP($A77,'Barge (Build) - Dry'!$A$49:$Y$54,3,FALSE)</f>
        <v>0</v>
      </c>
      <c r="R77" s="86">
        <f>$D77*HLOOKUP($A77,'Barge (Build) - Dry'!$A$43:$Y$48,3,FALSE)*HLOOKUP($A77,'Barge (Build) - Dry'!$A$49:$Y$54,3,FALSE)*VLOOKUP(A77,NPV!$B$4:$D$44,2,0)</f>
        <v>0</v>
      </c>
      <c r="S77" s="86">
        <f>$D77*HLOOKUP($A77,'Barge (Build) - Dry'!$A$43:$Y$48,4,FALSE)*HLOOKUP($A77,'Barge (Build) - Dry'!$A$49:$Y$54,4,FALSE)</f>
        <v>0</v>
      </c>
      <c r="T77" s="86">
        <f>$D77*HLOOKUP($A77,'Barge (Build) - Dry'!$A$43:$Y$48,4,FALSE)*HLOOKUP($A77,'Barge (Build) - Dry'!$A$49:$Y$54,4,FALSE)*VLOOKUP(A77,NPV!$B$4:$D$44,2,0)</f>
        <v>0</v>
      </c>
      <c r="U77" s="86">
        <f>$D77*HLOOKUP($A77,'Barge (Build) - Dry'!$A$43:$Y$48,5,FALSE)*HLOOKUP($A77,'Barge (Build) - Dry'!$A$49:$Y$54,5,FALSE)</f>
        <v>0</v>
      </c>
      <c r="V77" s="86">
        <f>$D77*HLOOKUP($A77,'Barge (Build) - Dry'!$A$43:$Y$48,5,FALSE)*HLOOKUP($A77,'Barge (Build) - Dry'!$A$49:$Y$54,5,FALSE)*VLOOKUP(A77,NPV!$B$4:$D$44,2,0)</f>
        <v>0</v>
      </c>
      <c r="W77" s="86">
        <f t="shared" si="10"/>
        <v>233141.48818529857</v>
      </c>
      <c r="X77" s="86">
        <f t="shared" si="11"/>
        <v>147848.05439353726</v>
      </c>
      <c r="Z77" s="86">
        <f>$B$10*'Barge (Build) - Dry'!$F$23*'Inputs &amp; Parameters'!$B$45</f>
        <v>104.59218409565987</v>
      </c>
      <c r="AA77" s="86">
        <f>$B$10*'Barge (Build) - Dry'!$F$23*'Inputs &amp; Parameters'!$B$45*VLOOKUP(A77,NPV!$B$4:$D$44,2,0)</f>
        <v>51.826267285866777</v>
      </c>
      <c r="AB77" s="86">
        <f>$B$10*'Barge (Build) - Dry'!$E$23*'Inputs &amp; Parameters'!$B$44</f>
        <v>2013.2598436359044</v>
      </c>
      <c r="AC77" s="86">
        <f>$B$10*'Barge (Build) - Dry'!$E$23*'Inputs &amp; Parameters'!$B$44*VLOOKUP(A77,NPV!$B$4:$D$44,2,0)</f>
        <v>997.58642267903826</v>
      </c>
      <c r="AD77" s="86">
        <f t="shared" si="12"/>
        <v>2117.8520277315642</v>
      </c>
      <c r="AE77" s="86">
        <f t="shared" si="13"/>
        <v>1049.412689964905</v>
      </c>
      <c r="AF77" s="145"/>
      <c r="AG77" s="86">
        <f t="shared" si="4"/>
        <v>3108615.0823099697</v>
      </c>
      <c r="AH77" s="86">
        <f t="shared" si="14"/>
        <v>1665228.0204922117</v>
      </c>
    </row>
    <row r="78" spans="1:34" x14ac:dyDescent="0.25">
      <c r="A78" s="5">
        <f t="shared" si="15"/>
        <v>2046</v>
      </c>
      <c r="B78" s="10">
        <f t="shared" si="5"/>
        <v>122.48676666666668</v>
      </c>
      <c r="C78" s="10">
        <f>B78*'Inputs &amp; Parameters'!$C$20/60</f>
        <v>2204.7618000000002</v>
      </c>
      <c r="D78" s="10">
        <f>B78*'Inputs &amp; Parameters'!$B$20</f>
        <v>16068.898916625703</v>
      </c>
      <c r="E78" s="90"/>
      <c r="F78" s="86">
        <f>(($B$9/$B$33)*'Inputs &amp; Parameters'!$B$7)+(('Barge - Liquid'!$B$72*$B$12)/'Barge - Liquid'!$B$71)</f>
        <v>2183471.1169636063</v>
      </c>
      <c r="G78" s="86">
        <f>(($B$9/$B$33)*'Inputs &amp; Parameters'!$B$7)+(('Barge - Liquid'!$B$72*4)/'Barge - Liquid'!$B$71)*VLOOKUP(A78,NPV!$B$4:$D$44,2,0)</f>
        <v>1144689.4134298139</v>
      </c>
      <c r="H78" s="86">
        <f t="shared" si="6"/>
        <v>651384.62513333338</v>
      </c>
      <c r="I78" s="86">
        <f>H78*VLOOKUP(A78,NPV!$B$4:$D$44,2,0)</f>
        <v>313061.40985747095</v>
      </c>
      <c r="J78" s="86">
        <f t="shared" si="7"/>
        <v>38500</v>
      </c>
      <c r="K78" s="86">
        <f>$B$11*0.5*VLOOKUP(A78,NPV!$B$4:$D$44,2,0)</f>
        <v>18503.452206974496</v>
      </c>
      <c r="L78" s="86">
        <f t="shared" si="8"/>
        <v>2873355.7420969396</v>
      </c>
      <c r="M78" s="86">
        <f t="shared" si="9"/>
        <v>1476254.2754942593</v>
      </c>
      <c r="N78" s="8"/>
      <c r="O78" s="86">
        <f>$D78*HLOOKUP($A78,'Barge (Build) - Dry'!$A$43:$Y$48,2,FALSE)*HLOOKUP($A78,'Barge (Build) - Dry'!$A$49:$Y$54,2,FALSE)</f>
        <v>236390.84690565118</v>
      </c>
      <c r="P78" s="86">
        <f>$D78*HLOOKUP($A78,'Barge (Build) - Dry'!$A$43:$Y$48,2,FALSE)*HLOOKUP($A78,'Barge (Build) - Dry'!$A$49:$Y$54,2,FALSE)*VLOOKUP(A78,NPV!$B$4:$D$44,3,0)</f>
        <v>146969.26907330513</v>
      </c>
      <c r="Q78" s="86">
        <f>$D78*HLOOKUP($A78,'Barge (Build) - Dry'!$A$43:$Y$48,3,FALSE)*HLOOKUP($A78,'Barge (Build) - Dry'!$A$49:$Y$54,3,FALSE)</f>
        <v>0</v>
      </c>
      <c r="R78" s="86">
        <f>$D78*HLOOKUP($A78,'Barge (Build) - Dry'!$A$43:$Y$48,3,FALSE)*HLOOKUP($A78,'Barge (Build) - Dry'!$A$49:$Y$54,3,FALSE)*VLOOKUP(A78,NPV!$B$4:$D$44,2,0)</f>
        <v>0</v>
      </c>
      <c r="S78" s="86">
        <f>$D78*HLOOKUP($A78,'Barge (Build) - Dry'!$A$43:$Y$48,4,FALSE)*HLOOKUP($A78,'Barge (Build) - Dry'!$A$49:$Y$54,4,FALSE)</f>
        <v>0</v>
      </c>
      <c r="T78" s="86">
        <f>$D78*HLOOKUP($A78,'Barge (Build) - Dry'!$A$43:$Y$48,4,FALSE)*HLOOKUP($A78,'Barge (Build) - Dry'!$A$49:$Y$54,4,FALSE)*VLOOKUP(A78,NPV!$B$4:$D$44,2,0)</f>
        <v>0</v>
      </c>
      <c r="U78" s="86">
        <f>$D78*HLOOKUP($A78,'Barge (Build) - Dry'!$A$43:$Y$48,5,FALSE)*HLOOKUP($A78,'Barge (Build) - Dry'!$A$49:$Y$54,5,FALSE)</f>
        <v>0</v>
      </c>
      <c r="V78" s="86">
        <f>$D78*HLOOKUP($A78,'Barge (Build) - Dry'!$A$43:$Y$48,5,FALSE)*HLOOKUP($A78,'Barge (Build) - Dry'!$A$49:$Y$54,5,FALSE)*VLOOKUP(A78,NPV!$B$4:$D$44,2,0)</f>
        <v>0</v>
      </c>
      <c r="W78" s="86">
        <f t="shared" si="10"/>
        <v>236390.84690565118</v>
      </c>
      <c r="X78" s="86">
        <f t="shared" si="11"/>
        <v>146969.26907330513</v>
      </c>
      <c r="Z78" s="86">
        <f>$B$10*'Barge (Build) - Dry'!$F$23*'Inputs &amp; Parameters'!$B$45</f>
        <v>104.59218409565987</v>
      </c>
      <c r="AA78" s="86">
        <f>$B$10*'Barge (Build) - Dry'!$F$23*'Inputs &amp; Parameters'!$B$45*VLOOKUP(A78,NPV!$B$4:$D$44,2,0)</f>
        <v>50.267960510055076</v>
      </c>
      <c r="AB78" s="86">
        <f>$B$10*'Barge (Build) - Dry'!$E$23*'Inputs &amp; Parameters'!$B$44</f>
        <v>2013.2598436359044</v>
      </c>
      <c r="AC78" s="86">
        <f>$B$10*'Barge (Build) - Dry'!$E$23*'Inputs &amp; Parameters'!$B$44*VLOOKUP(A78,NPV!$B$4:$D$44,2,0)</f>
        <v>967.59109862176376</v>
      </c>
      <c r="AD78" s="86">
        <f t="shared" si="12"/>
        <v>2117.8520277315642</v>
      </c>
      <c r="AE78" s="86">
        <f t="shared" si="13"/>
        <v>1017.8590591318189</v>
      </c>
      <c r="AF78" s="145"/>
      <c r="AG78" s="86">
        <f t="shared" si="4"/>
        <v>3111864.4410303221</v>
      </c>
      <c r="AH78" s="86">
        <f t="shared" si="14"/>
        <v>1624241.4036266962</v>
      </c>
    </row>
    <row r="79" spans="1:34" x14ac:dyDescent="0.25">
      <c r="A79" s="5">
        <f t="shared" si="15"/>
        <v>2047</v>
      </c>
      <c r="B79" s="10">
        <f t="shared" si="5"/>
        <v>122.48676666666668</v>
      </c>
      <c r="C79" s="10">
        <f>B79*'Inputs &amp; Parameters'!$C$20/60</f>
        <v>2204.7618000000002</v>
      </c>
      <c r="D79" s="10">
        <f>B79*'Inputs &amp; Parameters'!$B$20</f>
        <v>16068.898916625703</v>
      </c>
      <c r="E79" s="90"/>
      <c r="F79" s="86">
        <f>(($B$9/$B$33)*'Inputs &amp; Parameters'!$B$7)+(('Barge - Liquid'!$B$72*$B$12)/'Barge - Liquid'!$B$71)</f>
        <v>2183471.1169636063</v>
      </c>
      <c r="G79" s="86">
        <f>(($B$9/$B$33)*'Inputs &amp; Parameters'!$B$7)+(('Barge - Liquid'!$B$72*4)/'Barge - Liquid'!$B$71)*VLOOKUP(A79,NPV!$B$4:$D$44,2,0)</f>
        <v>1115787.6023818485</v>
      </c>
      <c r="H79" s="86">
        <f t="shared" si="6"/>
        <v>651384.62513333338</v>
      </c>
      <c r="I79" s="86">
        <f>H79*VLOOKUP(A79,NPV!$B$4:$D$44,2,0)</f>
        <v>303648.31217989424</v>
      </c>
      <c r="J79" s="86">
        <f t="shared" si="7"/>
        <v>38500</v>
      </c>
      <c r="K79" s="86">
        <f>$B$11*0.5*VLOOKUP(A79,NPV!$B$4:$D$44,2,0)</f>
        <v>17947.09234430116</v>
      </c>
      <c r="L79" s="86">
        <f t="shared" si="8"/>
        <v>2873355.7420969396</v>
      </c>
      <c r="M79" s="86">
        <f t="shared" si="9"/>
        <v>1437383.0069060437</v>
      </c>
      <c r="N79" s="8"/>
      <c r="O79" s="86">
        <f>$D79*HLOOKUP($A79,'Barge (Build) - Dry'!$A$43:$Y$48,2,FALSE)*HLOOKUP($A79,'Barge (Build) - Dry'!$A$49:$Y$54,2,FALSE)</f>
        <v>240452.5453060919</v>
      </c>
      <c r="P79" s="86">
        <f>$D79*HLOOKUP($A79,'Barge (Build) - Dry'!$A$43:$Y$48,2,FALSE)*HLOOKUP($A79,'Barge (Build) - Dry'!$A$49:$Y$54,2,FALSE)*VLOOKUP(A79,NPV!$B$4:$D$44,3,0)</f>
        <v>146563.24926116274</v>
      </c>
      <c r="Q79" s="86">
        <f>$D79*HLOOKUP($A79,'Barge (Build) - Dry'!$A$43:$Y$48,3,FALSE)*HLOOKUP($A79,'Barge (Build) - Dry'!$A$49:$Y$54,3,FALSE)</f>
        <v>0</v>
      </c>
      <c r="R79" s="86">
        <f>$D79*HLOOKUP($A79,'Barge (Build) - Dry'!$A$43:$Y$48,3,FALSE)*HLOOKUP($A79,'Barge (Build) - Dry'!$A$49:$Y$54,3,FALSE)*VLOOKUP(A79,NPV!$B$4:$D$44,2,0)</f>
        <v>0</v>
      </c>
      <c r="S79" s="86">
        <f>$D79*HLOOKUP($A79,'Barge (Build) - Dry'!$A$43:$Y$48,4,FALSE)*HLOOKUP($A79,'Barge (Build) - Dry'!$A$49:$Y$54,4,FALSE)</f>
        <v>0</v>
      </c>
      <c r="T79" s="86">
        <f>$D79*HLOOKUP($A79,'Barge (Build) - Dry'!$A$43:$Y$48,4,FALSE)*HLOOKUP($A79,'Barge (Build) - Dry'!$A$49:$Y$54,4,FALSE)*VLOOKUP(A79,NPV!$B$4:$D$44,2,0)</f>
        <v>0</v>
      </c>
      <c r="U79" s="86">
        <f>$D79*HLOOKUP($A79,'Barge (Build) - Dry'!$A$43:$Y$48,5,FALSE)*HLOOKUP($A79,'Barge (Build) - Dry'!$A$49:$Y$54,5,FALSE)</f>
        <v>0</v>
      </c>
      <c r="V79" s="86">
        <f>$D79*HLOOKUP($A79,'Barge (Build) - Dry'!$A$43:$Y$48,5,FALSE)*HLOOKUP($A79,'Barge (Build) - Dry'!$A$49:$Y$54,5,FALSE)*VLOOKUP(A79,NPV!$B$4:$D$44,2,0)</f>
        <v>0</v>
      </c>
      <c r="W79" s="86">
        <f t="shared" si="10"/>
        <v>240452.5453060919</v>
      </c>
      <c r="X79" s="86">
        <f t="shared" si="11"/>
        <v>146563.24926116274</v>
      </c>
      <c r="Z79" s="86">
        <f>$B$10*'Barge (Build) - Dry'!$F$23*'Inputs &amp; Parameters'!$B$45</f>
        <v>104.59218409565987</v>
      </c>
      <c r="AA79" s="86">
        <f>$B$10*'Barge (Build) - Dry'!$F$23*'Inputs &amp; Parameters'!$B$45*VLOOKUP(A79,NPV!$B$4:$D$44,2,0)</f>
        <v>48.756508739141687</v>
      </c>
      <c r="AB79" s="86">
        <f>$B$10*'Barge (Build) - Dry'!$E$23*'Inputs &amp; Parameters'!$B$44</f>
        <v>2013.2598436359044</v>
      </c>
      <c r="AC79" s="86">
        <f>$B$10*'Barge (Build) - Dry'!$E$23*'Inputs &amp; Parameters'!$B$44*VLOOKUP(A79,NPV!$B$4:$D$44,2,0)</f>
        <v>938.49767082615301</v>
      </c>
      <c r="AD79" s="86">
        <f t="shared" si="12"/>
        <v>2117.8520277315642</v>
      </c>
      <c r="AE79" s="86">
        <f t="shared" si="13"/>
        <v>987.25417956529475</v>
      </c>
      <c r="AF79" s="145"/>
      <c r="AG79" s="86">
        <f t="shared" si="4"/>
        <v>3115926.1394307627</v>
      </c>
      <c r="AH79" s="86">
        <f t="shared" si="14"/>
        <v>1584933.5103467717</v>
      </c>
    </row>
    <row r="80" spans="1:34" x14ac:dyDescent="0.25">
      <c r="A80" s="88" t="s">
        <v>45</v>
      </c>
      <c r="B80" s="37">
        <f>SUBTOTAL(9,B60:B79)</f>
        <v>2449.735333333334</v>
      </c>
      <c r="C80" s="37">
        <f>SUBTOTAL(9,C60:C79)</f>
        <v>44095.236000000004</v>
      </c>
      <c r="D80" s="37">
        <f>SUBTOTAL(9,D60:D79)</f>
        <v>321377.97833251412</v>
      </c>
      <c r="E80" s="38"/>
      <c r="F80" s="39">
        <f t="shared" ref="F80:L80" si="16">SUBTOTAL(9,F60:F79)</f>
        <v>43669422.339272141</v>
      </c>
      <c r="G80" s="39">
        <f t="shared" si="16"/>
        <v>28977505.512725558</v>
      </c>
      <c r="H80" s="39">
        <f t="shared" si="16"/>
        <v>13027692.502666671</v>
      </c>
      <c r="I80" s="39">
        <f t="shared" si="16"/>
        <v>8242648.135391592</v>
      </c>
      <c r="J80" s="39">
        <f t="shared" si="16"/>
        <v>770000</v>
      </c>
      <c r="K80" s="39">
        <f t="shared" si="16"/>
        <v>487180.60108897858</v>
      </c>
      <c r="L80" s="39">
        <f t="shared" si="16"/>
        <v>57467114.841938771</v>
      </c>
      <c r="M80" s="39">
        <f>SUBTOTAL(9,M60:M79)</f>
        <v>37707334.249206126</v>
      </c>
      <c r="N80" s="40"/>
      <c r="O80" s="39">
        <f t="shared" ref="O80:W80" si="17">SUBTOTAL(9,O60:O79)</f>
        <v>4194109.7682951093</v>
      </c>
      <c r="P80" s="39">
        <f t="shared" si="17"/>
        <v>3075687.9795446014</v>
      </c>
      <c r="Q80" s="39">
        <f t="shared" si="17"/>
        <v>0</v>
      </c>
      <c r="R80" s="39">
        <f t="shared" si="17"/>
        <v>0</v>
      </c>
      <c r="S80" s="39">
        <f t="shared" si="17"/>
        <v>0</v>
      </c>
      <c r="T80" s="39">
        <f t="shared" si="17"/>
        <v>0</v>
      </c>
      <c r="U80" s="39">
        <f t="shared" si="17"/>
        <v>0</v>
      </c>
      <c r="V80" s="39">
        <f t="shared" si="17"/>
        <v>0</v>
      </c>
      <c r="W80" s="39">
        <f t="shared" si="17"/>
        <v>4194109.7682951093</v>
      </c>
      <c r="X80" s="39">
        <f>SUBTOTAL(9,X60:X79)</f>
        <v>3075687.9795446014</v>
      </c>
      <c r="Y80" s="1"/>
      <c r="Z80" s="39">
        <f t="shared" ref="Z80:AD80" si="18">SUBTOTAL(9,Z60:Z79)</f>
        <v>2091.8436819131971</v>
      </c>
      <c r="AA80" s="39">
        <f t="shared" si="18"/>
        <v>1323.5138471930563</v>
      </c>
      <c r="AB80" s="39">
        <f t="shared" si="18"/>
        <v>40265.196872718087</v>
      </c>
      <c r="AC80" s="39">
        <f t="shared" si="18"/>
        <v>25475.873786255659</v>
      </c>
      <c r="AD80" s="39">
        <f t="shared" si="18"/>
        <v>42357.040554631283</v>
      </c>
      <c r="AE80" s="39">
        <f>SUBTOTAL(9,AE60:AE79)</f>
        <v>26799.387633448721</v>
      </c>
      <c r="AF80" s="146"/>
      <c r="AG80" s="39">
        <f>SUBTOTAL(9,AG60:AG79)</f>
        <v>61703581.650788531</v>
      </c>
      <c r="AH80" s="39">
        <f>SUBTOTAL(9,AH60:AH79)</f>
        <v>40809821.616384171</v>
      </c>
    </row>
    <row r="83" spans="24:24" x14ac:dyDescent="0.25">
      <c r="X83" s="61"/>
    </row>
    <row r="84" spans="24:24" x14ac:dyDescent="0.25">
      <c r="X84" s="8"/>
    </row>
  </sheetData>
  <mergeCells count="6">
    <mergeCell ref="A29:B29"/>
    <mergeCell ref="A25:F25"/>
    <mergeCell ref="A15:B15"/>
    <mergeCell ref="C15:D15"/>
    <mergeCell ref="E15:F15"/>
    <mergeCell ref="A24:F24"/>
  </mergeCells>
  <hyperlinks>
    <hyperlink ref="A24" r:id="rId1" xr:uid="{375D5BD2-A478-4219-9333-60CAC4DDF6E3}"/>
    <hyperlink ref="B27" r:id="rId2" display="https://www.tredis.com/pdf/User_Docs/TREDIS6_Data_Sources_and_Default_Values.pdf" xr:uid="{8B07DD34-463C-4C68-9DB7-ED0BB64FD9DC}"/>
    <hyperlink ref="C30" r:id="rId3" display="https://www.tredis.com/pdf/User_Docs/TREDIS6_Data_Sources_and_Default_Values.pdf" xr:uid="{019FA511-2791-41E5-9E03-F9BDF5254B1A}"/>
    <hyperlink ref="C32" r:id="rId4" display="https://nationalwaterwaysfoundation.org/file/28/TTI 2022 FINAL Report 2001-2019 1.pdf" xr:uid="{C2E4AC9E-C4F9-4F92-87BB-249D6AA5D45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F9B41-226A-4EA2-BB4C-286F069AB58B}">
  <dimension ref="A2:Y59"/>
  <sheetViews>
    <sheetView workbookViewId="0"/>
  </sheetViews>
  <sheetFormatPr defaultRowHeight="15" x14ac:dyDescent="0.25"/>
  <cols>
    <col min="1" max="1" width="46" customWidth="1"/>
    <col min="2" max="2" width="18.85546875" bestFit="1" customWidth="1"/>
    <col min="3" max="3" width="11.7109375" customWidth="1"/>
    <col min="4" max="4" width="14.7109375" customWidth="1"/>
    <col min="5" max="5" width="17" customWidth="1"/>
    <col min="6" max="6" width="19" customWidth="1"/>
    <col min="7" max="7" width="22" customWidth="1"/>
    <col min="8" max="8" width="20.28515625" bestFit="1" customWidth="1"/>
    <col min="9" max="10" width="13.85546875" bestFit="1" customWidth="1"/>
    <col min="11" max="11" width="12.5703125" customWidth="1"/>
    <col min="12" max="12" width="10.5703125" bestFit="1" customWidth="1"/>
    <col min="13" max="14" width="8.85546875" bestFit="1" customWidth="1"/>
    <col min="15" max="15" width="14.85546875" customWidth="1"/>
    <col min="16" max="16" width="10.5703125" bestFit="1" customWidth="1"/>
    <col min="17" max="20" width="8.85546875" bestFit="1" customWidth="1"/>
    <col min="21" max="21" width="14" customWidth="1"/>
    <col min="22" max="22" width="11.140625" customWidth="1"/>
  </cols>
  <sheetData>
    <row r="2" spans="1:3" x14ac:dyDescent="0.25">
      <c r="A2" s="5" t="s">
        <v>355</v>
      </c>
      <c r="B2" s="18">
        <v>2028</v>
      </c>
    </row>
    <row r="3" spans="1:3" x14ac:dyDescent="0.25">
      <c r="A3" s="5" t="s">
        <v>356</v>
      </c>
      <c r="B3" s="18">
        <v>2027</v>
      </c>
    </row>
    <row r="4" spans="1:3" x14ac:dyDescent="0.25">
      <c r="A4" s="5" t="s">
        <v>189</v>
      </c>
      <c r="B4" s="18">
        <v>6</v>
      </c>
      <c r="C4" t="s">
        <v>190</v>
      </c>
    </row>
    <row r="5" spans="1:3" x14ac:dyDescent="0.25">
      <c r="A5" s="33" t="s">
        <v>191</v>
      </c>
      <c r="B5" s="3">
        <f>'Rail Diversion (No Build) - Dry'!$B$9</f>
        <v>53.5</v>
      </c>
      <c r="C5" t="s">
        <v>192</v>
      </c>
    </row>
    <row r="6" spans="1:3" x14ac:dyDescent="0.25">
      <c r="A6" s="33" t="s">
        <v>193</v>
      </c>
      <c r="B6" s="3">
        <f>'Truck Diversion (No Build)- Dry'!$B$9</f>
        <v>33.5</v>
      </c>
      <c r="C6" t="s">
        <v>194</v>
      </c>
    </row>
    <row r="7" spans="1:3" x14ac:dyDescent="0.25">
      <c r="A7" s="5" t="s">
        <v>348</v>
      </c>
      <c r="B7" s="25">
        <v>1650</v>
      </c>
      <c r="C7" t="s">
        <v>190</v>
      </c>
    </row>
    <row r="8" spans="1:3" x14ac:dyDescent="0.25">
      <c r="A8" s="5" t="s">
        <v>196</v>
      </c>
      <c r="B8" s="25">
        <f>ROUNDUP('Inputs &amp; Parameters'!B23/'Barge (Build) - Liquid'!B7/12,0)</f>
        <v>22</v>
      </c>
      <c r="C8" t="s">
        <v>190</v>
      </c>
    </row>
    <row r="9" spans="1:3" x14ac:dyDescent="0.25">
      <c r="A9" s="5" t="s">
        <v>349</v>
      </c>
      <c r="B9" s="25">
        <f>B8*12*'Inputs &amp; Parameters'!B20</f>
        <v>34633.858248000004</v>
      </c>
    </row>
    <row r="10" spans="1:3" x14ac:dyDescent="0.25">
      <c r="A10" s="5" t="s">
        <v>198</v>
      </c>
      <c r="B10" s="25">
        <f>B7*'Inputs &amp; Parameters'!$B$20*$B$8*12</f>
        <v>57145866.109200001</v>
      </c>
    </row>
    <row r="11" spans="1:3" x14ac:dyDescent="0.25">
      <c r="A11" s="5" t="s">
        <v>357</v>
      </c>
      <c r="B11" s="17">
        <f>77000*0.5</f>
        <v>38500</v>
      </c>
    </row>
    <row r="14" spans="1:3" x14ac:dyDescent="0.25">
      <c r="A14" s="5" t="s">
        <v>358</v>
      </c>
      <c r="B14" s="17">
        <v>1000</v>
      </c>
    </row>
    <row r="15" spans="1:3" x14ac:dyDescent="0.25">
      <c r="A15" s="33" t="s">
        <v>201</v>
      </c>
      <c r="B15" s="155">
        <v>0.2</v>
      </c>
    </row>
    <row r="18" spans="1:6" ht="48" customHeight="1" x14ac:dyDescent="0.25">
      <c r="A18" s="170" t="s">
        <v>352</v>
      </c>
      <c r="B18" s="170"/>
      <c r="C18" s="171" t="s">
        <v>353</v>
      </c>
      <c r="D18" s="171"/>
      <c r="E18" s="170" t="s">
        <v>354</v>
      </c>
      <c r="F18" s="170"/>
    </row>
    <row r="19" spans="1:6" ht="45" x14ac:dyDescent="0.25">
      <c r="A19" s="14" t="s">
        <v>42</v>
      </c>
      <c r="B19" s="15" t="s">
        <v>223</v>
      </c>
      <c r="C19" s="14" t="s">
        <v>224</v>
      </c>
      <c r="D19" s="14" t="s">
        <v>225</v>
      </c>
      <c r="E19" s="14" t="s">
        <v>224</v>
      </c>
      <c r="F19" s="14" t="s">
        <v>225</v>
      </c>
    </row>
    <row r="20" spans="1:6" x14ac:dyDescent="0.25">
      <c r="A20" s="12">
        <v>2002</v>
      </c>
      <c r="B20" s="25">
        <v>293626000000</v>
      </c>
      <c r="C20" s="25">
        <v>8</v>
      </c>
      <c r="D20" s="25">
        <v>17</v>
      </c>
      <c r="E20" s="5"/>
      <c r="F20" s="5"/>
    </row>
    <row r="21" spans="1:6" x14ac:dyDescent="0.25">
      <c r="A21" s="12">
        <v>2003</v>
      </c>
      <c r="B21" s="25">
        <v>278360000000</v>
      </c>
      <c r="C21" s="25">
        <v>2</v>
      </c>
      <c r="D21" s="25">
        <v>14</v>
      </c>
      <c r="E21" s="5"/>
      <c r="F21" s="5"/>
    </row>
    <row r="22" spans="1:6" x14ac:dyDescent="0.25">
      <c r="A22" s="12">
        <v>2004</v>
      </c>
      <c r="B22" s="25">
        <v>284162000000</v>
      </c>
      <c r="C22" s="25">
        <v>2</v>
      </c>
      <c r="D22" s="25">
        <v>34</v>
      </c>
      <c r="E22" s="5"/>
      <c r="F22" s="5"/>
    </row>
    <row r="23" spans="1:6" x14ac:dyDescent="0.25">
      <c r="A23" s="12">
        <v>2005</v>
      </c>
      <c r="B23" s="25">
        <v>274366000000</v>
      </c>
      <c r="C23" s="25">
        <v>11</v>
      </c>
      <c r="D23" s="25">
        <v>21</v>
      </c>
      <c r="E23" s="5"/>
      <c r="F23" s="5"/>
    </row>
    <row r="24" spans="1:6" x14ac:dyDescent="0.25">
      <c r="A24" s="12">
        <v>2006</v>
      </c>
      <c r="B24" s="25">
        <v>279858000000</v>
      </c>
      <c r="C24" s="25">
        <v>8</v>
      </c>
      <c r="D24" s="25">
        <v>22</v>
      </c>
      <c r="E24" s="5"/>
      <c r="F24" s="5"/>
    </row>
    <row r="25" spans="1:6" x14ac:dyDescent="0.25">
      <c r="A25" s="12">
        <v>2007</v>
      </c>
      <c r="B25" s="25"/>
      <c r="C25" s="25" t="s">
        <v>226</v>
      </c>
      <c r="D25" s="25"/>
      <c r="E25" s="5"/>
      <c r="F25" s="5"/>
    </row>
    <row r="26" spans="1:6" x14ac:dyDescent="0.25">
      <c r="A26" s="5" t="s">
        <v>227</v>
      </c>
      <c r="B26" s="5"/>
      <c r="C26" s="10">
        <v>11</v>
      </c>
      <c r="D26" s="10">
        <v>34</v>
      </c>
      <c r="E26" s="56">
        <f>C26/B23</f>
        <v>4.0092431277928022E-11</v>
      </c>
      <c r="F26" s="55">
        <f>D26/B22</f>
        <v>1.1965005876929357E-10</v>
      </c>
    </row>
    <row r="27" spans="1:6" x14ac:dyDescent="0.25">
      <c r="A27" s="198" t="s">
        <v>228</v>
      </c>
      <c r="B27" s="198"/>
      <c r="C27" s="198"/>
      <c r="D27" s="198"/>
      <c r="E27" s="198"/>
      <c r="F27" s="198"/>
    </row>
    <row r="28" spans="1:6" x14ac:dyDescent="0.25">
      <c r="A28" s="195" t="s">
        <v>229</v>
      </c>
      <c r="B28" s="195"/>
      <c r="C28" s="195"/>
      <c r="D28" s="195"/>
      <c r="E28" s="195"/>
      <c r="F28" s="195"/>
    </row>
    <row r="29" spans="1:6" x14ac:dyDescent="0.25">
      <c r="A29" s="1"/>
      <c r="B29" s="1"/>
      <c r="C29" s="1"/>
      <c r="D29" s="1"/>
      <c r="E29" s="1"/>
      <c r="F29" s="1"/>
    </row>
    <row r="30" spans="1:6" ht="20.25" thickBot="1" x14ac:dyDescent="0.35">
      <c r="A30" s="19" t="s">
        <v>202</v>
      </c>
      <c r="B30" s="27" t="s">
        <v>203</v>
      </c>
      <c r="F30" t="s">
        <v>204</v>
      </c>
    </row>
    <row r="31" spans="1:6" ht="15.75" thickTop="1" x14ac:dyDescent="0.25"/>
    <row r="32" spans="1:6" x14ac:dyDescent="0.25">
      <c r="A32" s="170" t="s">
        <v>205</v>
      </c>
      <c r="B32" s="170"/>
      <c r="C32" s="13" t="s">
        <v>77</v>
      </c>
    </row>
    <row r="33" spans="1:25" x14ac:dyDescent="0.25">
      <c r="A33" s="5" t="s">
        <v>206</v>
      </c>
      <c r="B33" s="18">
        <v>22.4</v>
      </c>
      <c r="C33" s="43" t="s">
        <v>203</v>
      </c>
    </row>
    <row r="34" spans="1:25" x14ac:dyDescent="0.25">
      <c r="A34" s="5" t="s">
        <v>207</v>
      </c>
      <c r="B34" s="24">
        <v>453.59237000000002</v>
      </c>
      <c r="C34" s="5"/>
    </row>
    <row r="35" spans="1:25" x14ac:dyDescent="0.25">
      <c r="A35" s="5" t="s">
        <v>208</v>
      </c>
      <c r="B35" s="24">
        <v>675</v>
      </c>
      <c r="C35" s="27" t="s">
        <v>209</v>
      </c>
    </row>
    <row r="36" spans="1:25" ht="30" x14ac:dyDescent="0.25">
      <c r="A36" s="87" t="s">
        <v>210</v>
      </c>
      <c r="B36" s="48">
        <f>B35/'Barge (Build) - Liquid'!$B$7</f>
        <v>0.40909090909090912</v>
      </c>
      <c r="C36" s="43"/>
    </row>
    <row r="37" spans="1:25" x14ac:dyDescent="0.25">
      <c r="A37" s="5" t="s">
        <v>211</v>
      </c>
      <c r="B37" s="49">
        <f>1/B36</f>
        <v>2.4444444444444442</v>
      </c>
      <c r="C37" s="5"/>
    </row>
    <row r="38" spans="1:25" x14ac:dyDescent="0.25">
      <c r="A38" s="5" t="s">
        <v>212</v>
      </c>
      <c r="B38" s="91">
        <f>B33*B34*B37</f>
        <v>24836.702215111109</v>
      </c>
      <c r="C38" s="5"/>
    </row>
    <row r="39" spans="1:25" ht="15.75" thickBot="1" x14ac:dyDescent="0.3"/>
    <row r="40" spans="1:25" ht="30" x14ac:dyDescent="0.25">
      <c r="A40" s="45" t="s">
        <v>213</v>
      </c>
      <c r="B40" s="23">
        <v>2024</v>
      </c>
      <c r="C40" s="23">
        <f t="shared" ref="C40:Y40" si="0">B40+1</f>
        <v>2025</v>
      </c>
      <c r="D40" s="23">
        <f t="shared" si="0"/>
        <v>2026</v>
      </c>
      <c r="E40" s="23">
        <f t="shared" si="0"/>
        <v>2027</v>
      </c>
      <c r="F40" s="23">
        <f t="shared" si="0"/>
        <v>2028</v>
      </c>
      <c r="G40" s="23">
        <f t="shared" si="0"/>
        <v>2029</v>
      </c>
      <c r="H40" s="23">
        <f t="shared" si="0"/>
        <v>2030</v>
      </c>
      <c r="I40" s="23">
        <f t="shared" si="0"/>
        <v>2031</v>
      </c>
      <c r="J40" s="23">
        <f t="shared" si="0"/>
        <v>2032</v>
      </c>
      <c r="K40" s="23">
        <f t="shared" si="0"/>
        <v>2033</v>
      </c>
      <c r="L40" s="23">
        <f t="shared" si="0"/>
        <v>2034</v>
      </c>
      <c r="M40" s="23">
        <f t="shared" si="0"/>
        <v>2035</v>
      </c>
      <c r="N40" s="23">
        <f t="shared" si="0"/>
        <v>2036</v>
      </c>
      <c r="O40" s="23">
        <f t="shared" si="0"/>
        <v>2037</v>
      </c>
      <c r="P40" s="23">
        <f t="shared" si="0"/>
        <v>2038</v>
      </c>
      <c r="Q40" s="23">
        <f t="shared" si="0"/>
        <v>2039</v>
      </c>
      <c r="R40" s="23">
        <f t="shared" si="0"/>
        <v>2040</v>
      </c>
      <c r="S40" s="23">
        <f t="shared" si="0"/>
        <v>2041</v>
      </c>
      <c r="T40" s="23">
        <f t="shared" si="0"/>
        <v>2042</v>
      </c>
      <c r="U40" s="23">
        <f t="shared" si="0"/>
        <v>2043</v>
      </c>
      <c r="V40" s="23">
        <f t="shared" si="0"/>
        <v>2044</v>
      </c>
      <c r="W40" s="23">
        <f t="shared" si="0"/>
        <v>2045</v>
      </c>
      <c r="X40" s="23">
        <f t="shared" si="0"/>
        <v>2046</v>
      </c>
      <c r="Y40" s="23">
        <f t="shared" si="0"/>
        <v>2047</v>
      </c>
    </row>
    <row r="41" spans="1:25" x14ac:dyDescent="0.25">
      <c r="A41" s="21" t="s">
        <v>214</v>
      </c>
      <c r="B41" s="50">
        <f>$B$38</f>
        <v>24836.702215111109</v>
      </c>
      <c r="C41" s="50">
        <f t="shared" ref="C41:Y41" si="1">B41</f>
        <v>24836.702215111109</v>
      </c>
      <c r="D41" s="50">
        <f t="shared" si="1"/>
        <v>24836.702215111109</v>
      </c>
      <c r="E41" s="50">
        <f t="shared" si="1"/>
        <v>24836.702215111109</v>
      </c>
      <c r="F41" s="50">
        <f t="shared" si="1"/>
        <v>24836.702215111109</v>
      </c>
      <c r="G41" s="50">
        <f t="shared" si="1"/>
        <v>24836.702215111109</v>
      </c>
      <c r="H41" s="50">
        <f t="shared" si="1"/>
        <v>24836.702215111109</v>
      </c>
      <c r="I41" s="50">
        <f t="shared" si="1"/>
        <v>24836.702215111109</v>
      </c>
      <c r="J41" s="50">
        <f t="shared" si="1"/>
        <v>24836.702215111109</v>
      </c>
      <c r="K41" s="50">
        <f t="shared" si="1"/>
        <v>24836.702215111109</v>
      </c>
      <c r="L41" s="50">
        <f t="shared" si="1"/>
        <v>24836.702215111109</v>
      </c>
      <c r="M41" s="50">
        <f t="shared" si="1"/>
        <v>24836.702215111109</v>
      </c>
      <c r="N41" s="50">
        <f t="shared" si="1"/>
        <v>24836.702215111109</v>
      </c>
      <c r="O41" s="50">
        <f t="shared" si="1"/>
        <v>24836.702215111109</v>
      </c>
      <c r="P41" s="50">
        <f t="shared" si="1"/>
        <v>24836.702215111109</v>
      </c>
      <c r="Q41" s="50">
        <f t="shared" si="1"/>
        <v>24836.702215111109</v>
      </c>
      <c r="R41" s="50">
        <f t="shared" si="1"/>
        <v>24836.702215111109</v>
      </c>
      <c r="S41" s="50">
        <f t="shared" si="1"/>
        <v>24836.702215111109</v>
      </c>
      <c r="T41" s="50">
        <f t="shared" si="1"/>
        <v>24836.702215111109</v>
      </c>
      <c r="U41" s="50">
        <f t="shared" si="1"/>
        <v>24836.702215111109</v>
      </c>
      <c r="V41" s="50">
        <f t="shared" si="1"/>
        <v>24836.702215111109</v>
      </c>
      <c r="W41" s="50">
        <f t="shared" si="1"/>
        <v>24836.702215111109</v>
      </c>
      <c r="X41" s="50">
        <f t="shared" si="1"/>
        <v>24836.702215111109</v>
      </c>
      <c r="Y41" s="50">
        <f t="shared" si="1"/>
        <v>24836.702215111109</v>
      </c>
    </row>
    <row r="42" spans="1:25" x14ac:dyDescent="0.25">
      <c r="A42" s="21" t="s">
        <v>215</v>
      </c>
      <c r="B42" s="50">
        <v>0</v>
      </c>
      <c r="C42" s="50">
        <v>0</v>
      </c>
      <c r="D42" s="50">
        <v>0</v>
      </c>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50">
        <v>0</v>
      </c>
    </row>
    <row r="43" spans="1:25" x14ac:dyDescent="0.25">
      <c r="A43" s="21" t="s">
        <v>216</v>
      </c>
      <c r="B43" s="50">
        <v>0</v>
      </c>
      <c r="C43" s="50">
        <v>0</v>
      </c>
      <c r="D43" s="50">
        <v>0</v>
      </c>
      <c r="E43" s="50">
        <v>0</v>
      </c>
      <c r="F43" s="50">
        <v>0</v>
      </c>
      <c r="G43" s="50">
        <v>0</v>
      </c>
      <c r="H43" s="50">
        <v>0</v>
      </c>
      <c r="I43" s="50">
        <v>0</v>
      </c>
      <c r="J43" s="50">
        <v>0</v>
      </c>
      <c r="K43" s="50">
        <v>0</v>
      </c>
      <c r="L43" s="50">
        <v>0</v>
      </c>
      <c r="M43" s="50">
        <v>0</v>
      </c>
      <c r="N43" s="50">
        <v>0</v>
      </c>
      <c r="O43" s="50">
        <v>0</v>
      </c>
      <c r="P43" s="50">
        <v>0</v>
      </c>
      <c r="Q43" s="50">
        <v>0</v>
      </c>
      <c r="R43" s="50">
        <v>0</v>
      </c>
      <c r="S43" s="50">
        <v>0</v>
      </c>
      <c r="T43" s="50">
        <v>0</v>
      </c>
      <c r="U43" s="50">
        <v>0</v>
      </c>
      <c r="V43" s="50">
        <v>0</v>
      </c>
      <c r="W43" s="50">
        <v>0</v>
      </c>
      <c r="X43" s="50">
        <v>0</v>
      </c>
      <c r="Y43" s="50">
        <v>0</v>
      </c>
    </row>
    <row r="44" spans="1:25" x14ac:dyDescent="0.25">
      <c r="A44" s="21" t="s">
        <v>217</v>
      </c>
      <c r="B44" s="50">
        <v>0</v>
      </c>
      <c r="C44" s="50">
        <v>0</v>
      </c>
      <c r="D44" s="50">
        <v>0</v>
      </c>
      <c r="E44" s="50">
        <v>0</v>
      </c>
      <c r="F44" s="50">
        <v>0</v>
      </c>
      <c r="G44" s="50">
        <v>0</v>
      </c>
      <c r="H44" s="50">
        <v>0</v>
      </c>
      <c r="I44" s="50">
        <v>0</v>
      </c>
      <c r="J44" s="50">
        <v>0</v>
      </c>
      <c r="K44" s="50">
        <v>0</v>
      </c>
      <c r="L44" s="50">
        <v>0</v>
      </c>
      <c r="M44" s="50">
        <v>0</v>
      </c>
      <c r="N44" s="50">
        <v>0</v>
      </c>
      <c r="O44" s="50">
        <v>0</v>
      </c>
      <c r="P44" s="50">
        <v>0</v>
      </c>
      <c r="Q44" s="50">
        <v>0</v>
      </c>
      <c r="R44" s="50">
        <v>0</v>
      </c>
      <c r="S44" s="50">
        <v>0</v>
      </c>
      <c r="T44" s="50">
        <v>0</v>
      </c>
      <c r="U44" s="50">
        <v>0</v>
      </c>
      <c r="V44" s="50">
        <v>0</v>
      </c>
      <c r="W44" s="50">
        <v>0</v>
      </c>
      <c r="X44" s="50">
        <v>0</v>
      </c>
      <c r="Y44" s="50">
        <v>0</v>
      </c>
    </row>
    <row r="45" spans="1:25" x14ac:dyDescent="0.25">
      <c r="A45" s="21" t="s">
        <v>218</v>
      </c>
      <c r="B45" s="50">
        <v>0</v>
      </c>
      <c r="C45" s="50">
        <v>0</v>
      </c>
      <c r="D45" s="50">
        <v>0</v>
      </c>
      <c r="E45" s="50">
        <v>0</v>
      </c>
      <c r="F45" s="50">
        <v>0</v>
      </c>
      <c r="G45" s="50">
        <v>0</v>
      </c>
      <c r="H45" s="50">
        <v>0</v>
      </c>
      <c r="I45" s="50">
        <v>0</v>
      </c>
      <c r="J45" s="50">
        <v>0</v>
      </c>
      <c r="K45" s="50">
        <v>0</v>
      </c>
      <c r="L45" s="50">
        <v>0</v>
      </c>
      <c r="M45" s="50">
        <v>0</v>
      </c>
      <c r="N45" s="50">
        <v>0</v>
      </c>
      <c r="O45" s="50">
        <v>0</v>
      </c>
      <c r="P45" s="50">
        <v>0</v>
      </c>
      <c r="Q45" s="50">
        <v>0</v>
      </c>
      <c r="R45" s="50">
        <v>0</v>
      </c>
      <c r="S45" s="50">
        <v>0</v>
      </c>
      <c r="T45" s="50">
        <v>0</v>
      </c>
      <c r="U45" s="50">
        <v>0</v>
      </c>
      <c r="V45" s="50">
        <v>0</v>
      </c>
      <c r="W45" s="50">
        <v>0</v>
      </c>
      <c r="X45" s="50">
        <v>0</v>
      </c>
      <c r="Y45" s="50">
        <v>0</v>
      </c>
    </row>
    <row r="46" spans="1:25" ht="30" x14ac:dyDescent="0.25">
      <c r="A46" s="46" t="s">
        <v>219</v>
      </c>
      <c r="B46" s="23">
        <v>2024</v>
      </c>
      <c r="C46" s="23">
        <f t="shared" ref="C46:Y46" si="2">B46+1</f>
        <v>2025</v>
      </c>
      <c r="D46" s="23">
        <f t="shared" si="2"/>
        <v>2026</v>
      </c>
      <c r="E46" s="23">
        <f t="shared" si="2"/>
        <v>2027</v>
      </c>
      <c r="F46" s="23">
        <f t="shared" si="2"/>
        <v>2028</v>
      </c>
      <c r="G46" s="23">
        <f t="shared" si="2"/>
        <v>2029</v>
      </c>
      <c r="H46" s="23">
        <f t="shared" si="2"/>
        <v>2030</v>
      </c>
      <c r="I46" s="23">
        <f t="shared" si="2"/>
        <v>2031</v>
      </c>
      <c r="J46" s="23">
        <f t="shared" si="2"/>
        <v>2032</v>
      </c>
      <c r="K46" s="23">
        <f t="shared" si="2"/>
        <v>2033</v>
      </c>
      <c r="L46" s="23">
        <f t="shared" si="2"/>
        <v>2034</v>
      </c>
      <c r="M46" s="23">
        <f t="shared" si="2"/>
        <v>2035</v>
      </c>
      <c r="N46" s="23">
        <f t="shared" si="2"/>
        <v>2036</v>
      </c>
      <c r="O46" s="23">
        <f t="shared" si="2"/>
        <v>2037</v>
      </c>
      <c r="P46" s="23">
        <f t="shared" si="2"/>
        <v>2038</v>
      </c>
      <c r="Q46" s="23">
        <f t="shared" si="2"/>
        <v>2039</v>
      </c>
      <c r="R46" s="23">
        <f t="shared" si="2"/>
        <v>2040</v>
      </c>
      <c r="S46" s="23">
        <f t="shared" si="2"/>
        <v>2041</v>
      </c>
      <c r="T46" s="23">
        <f t="shared" si="2"/>
        <v>2042</v>
      </c>
      <c r="U46" s="23">
        <f t="shared" si="2"/>
        <v>2043</v>
      </c>
      <c r="V46" s="23">
        <f t="shared" si="2"/>
        <v>2044</v>
      </c>
      <c r="W46" s="23">
        <f t="shared" si="2"/>
        <v>2045</v>
      </c>
      <c r="X46" s="23">
        <f t="shared" si="2"/>
        <v>2046</v>
      </c>
      <c r="Y46" s="23">
        <f t="shared" si="2"/>
        <v>2047</v>
      </c>
    </row>
    <row r="47" spans="1:25" x14ac:dyDescent="0.25">
      <c r="A47" s="21" t="s">
        <v>214</v>
      </c>
      <c r="B47" s="41">
        <f>B41/'Inputs &amp; Parameters'!$B$9</f>
        <v>2.4836702215111108E-2</v>
      </c>
      <c r="C47" s="41">
        <f>C41/'Inputs &amp; Parameters'!$B$9</f>
        <v>2.4836702215111108E-2</v>
      </c>
      <c r="D47" s="41">
        <f>D41/'Inputs &amp; Parameters'!$B$9</f>
        <v>2.4836702215111108E-2</v>
      </c>
      <c r="E47" s="41">
        <f>E41/'Inputs &amp; Parameters'!$B$9</f>
        <v>2.4836702215111108E-2</v>
      </c>
      <c r="F47" s="41">
        <f>F41/'Inputs &amp; Parameters'!$B$9</f>
        <v>2.4836702215111108E-2</v>
      </c>
      <c r="G47" s="41">
        <f>G41/'Inputs &amp; Parameters'!$B$9</f>
        <v>2.4836702215111108E-2</v>
      </c>
      <c r="H47" s="41">
        <f>H41/'Inputs &amp; Parameters'!$B$9</f>
        <v>2.4836702215111108E-2</v>
      </c>
      <c r="I47" s="41">
        <f>I41/'Inputs &amp; Parameters'!$B$9</f>
        <v>2.4836702215111108E-2</v>
      </c>
      <c r="J47" s="41">
        <f>J41/'Inputs &amp; Parameters'!$B$9</f>
        <v>2.4836702215111108E-2</v>
      </c>
      <c r="K47" s="41">
        <f>K41/'Inputs &amp; Parameters'!$B$9</f>
        <v>2.4836702215111108E-2</v>
      </c>
      <c r="L47" s="41">
        <f>L41/'Inputs &amp; Parameters'!$B$9</f>
        <v>2.4836702215111108E-2</v>
      </c>
      <c r="M47" s="41">
        <f>M41/'Inputs &amp; Parameters'!$B$9</f>
        <v>2.4836702215111108E-2</v>
      </c>
      <c r="N47" s="41">
        <f>N41/'Inputs &amp; Parameters'!$B$9</f>
        <v>2.4836702215111108E-2</v>
      </c>
      <c r="O47" s="41">
        <f>O41/'Inputs &amp; Parameters'!$B$9</f>
        <v>2.4836702215111108E-2</v>
      </c>
      <c r="P47" s="41">
        <f>P41/'Inputs &amp; Parameters'!$B$9</f>
        <v>2.4836702215111108E-2</v>
      </c>
      <c r="Q47" s="41">
        <f>Q41/'Inputs &amp; Parameters'!$B$9</f>
        <v>2.4836702215111108E-2</v>
      </c>
      <c r="R47" s="41">
        <f>R41/'Inputs &amp; Parameters'!$B$9</f>
        <v>2.4836702215111108E-2</v>
      </c>
      <c r="S47" s="41">
        <f>S41/'Inputs &amp; Parameters'!$B$9</f>
        <v>2.4836702215111108E-2</v>
      </c>
      <c r="T47" s="41">
        <f>T41/'Inputs &amp; Parameters'!$B$9</f>
        <v>2.4836702215111108E-2</v>
      </c>
      <c r="U47" s="41">
        <f>U41/'Inputs &amp; Parameters'!$B$9</f>
        <v>2.4836702215111108E-2</v>
      </c>
      <c r="V47" s="41">
        <f>V41/'Inputs &amp; Parameters'!$B$9</f>
        <v>2.4836702215111108E-2</v>
      </c>
      <c r="W47" s="41">
        <f>W41/'Inputs &amp; Parameters'!$B$9</f>
        <v>2.4836702215111108E-2</v>
      </c>
      <c r="X47" s="41">
        <f>X41/'Inputs &amp; Parameters'!$B$9</f>
        <v>2.4836702215111108E-2</v>
      </c>
      <c r="Y47" s="41">
        <f>Y41/'Inputs &amp; Parameters'!$B$9</f>
        <v>2.4836702215111108E-2</v>
      </c>
    </row>
    <row r="48" spans="1:25" x14ac:dyDescent="0.25">
      <c r="A48" s="21" t="s">
        <v>215</v>
      </c>
      <c r="B48" s="41">
        <f>B42/'Inputs &amp; Parameters'!$B$9</f>
        <v>0</v>
      </c>
      <c r="C48" s="41">
        <f>C42/'Inputs &amp; Parameters'!$B$9</f>
        <v>0</v>
      </c>
      <c r="D48" s="41">
        <f>D42/'Inputs &amp; Parameters'!$B$9</f>
        <v>0</v>
      </c>
      <c r="E48" s="41">
        <f>E42/'Inputs &amp; Parameters'!$B$9</f>
        <v>0</v>
      </c>
      <c r="F48" s="41">
        <f>F42/'Inputs &amp; Parameters'!$B$9</f>
        <v>0</v>
      </c>
      <c r="G48" s="41">
        <f>G42/'Inputs &amp; Parameters'!$B$9</f>
        <v>0</v>
      </c>
      <c r="H48" s="41">
        <f>H42/'Inputs &amp; Parameters'!$B$9</f>
        <v>0</v>
      </c>
      <c r="I48" s="41">
        <f>I42/'Inputs &amp; Parameters'!$B$9</f>
        <v>0</v>
      </c>
      <c r="J48" s="41">
        <f>J42/'Inputs &amp; Parameters'!$B$9</f>
        <v>0</v>
      </c>
      <c r="K48" s="41">
        <f>K42/'Inputs &amp; Parameters'!$B$9</f>
        <v>0</v>
      </c>
      <c r="L48" s="41">
        <f>L42/'Inputs &amp; Parameters'!$B$9</f>
        <v>0</v>
      </c>
      <c r="M48" s="41">
        <f>M42/'Inputs &amp; Parameters'!$B$9</f>
        <v>0</v>
      </c>
      <c r="N48" s="41">
        <f>N42/'Inputs &amp; Parameters'!$B$9</f>
        <v>0</v>
      </c>
      <c r="O48" s="41">
        <f>O42/'Inputs &amp; Parameters'!$B$9</f>
        <v>0</v>
      </c>
      <c r="P48" s="41">
        <f>P42/'Inputs &amp; Parameters'!$B$9</f>
        <v>0</v>
      </c>
      <c r="Q48" s="41">
        <f>Q42/'Inputs &amp; Parameters'!$B$9</f>
        <v>0</v>
      </c>
      <c r="R48" s="41">
        <f>R42/'Inputs &amp; Parameters'!$B$9</f>
        <v>0</v>
      </c>
      <c r="S48" s="41">
        <f>S42/'Inputs &amp; Parameters'!$B$9</f>
        <v>0</v>
      </c>
      <c r="T48" s="41">
        <f>T42/'Inputs &amp; Parameters'!$B$9</f>
        <v>0</v>
      </c>
      <c r="U48" s="41">
        <f>U42/'Inputs &amp; Parameters'!$B$9</f>
        <v>0</v>
      </c>
      <c r="V48" s="41">
        <f>V42/'Inputs &amp; Parameters'!$B$9</f>
        <v>0</v>
      </c>
      <c r="W48" s="41">
        <f>W42/'Inputs &amp; Parameters'!$B$9</f>
        <v>0</v>
      </c>
      <c r="X48" s="41">
        <f>X42/'Inputs &amp; Parameters'!$B$9</f>
        <v>0</v>
      </c>
      <c r="Y48" s="41">
        <f>Y42/'Inputs &amp; Parameters'!$B$9</f>
        <v>0</v>
      </c>
    </row>
    <row r="49" spans="1:25" x14ac:dyDescent="0.25">
      <c r="A49" s="21" t="s">
        <v>216</v>
      </c>
      <c r="B49" s="41">
        <f>B43/'Inputs &amp; Parameters'!$B$9</f>
        <v>0</v>
      </c>
      <c r="C49" s="41">
        <f>C43/'Inputs &amp; Parameters'!$B$9</f>
        <v>0</v>
      </c>
      <c r="D49" s="41">
        <f>D43/'Inputs &amp; Parameters'!$B$9</f>
        <v>0</v>
      </c>
      <c r="E49" s="41">
        <f>E43/'Inputs &amp; Parameters'!$B$9</f>
        <v>0</v>
      </c>
      <c r="F49" s="41">
        <f>F43/'Inputs &amp; Parameters'!$B$9</f>
        <v>0</v>
      </c>
      <c r="G49" s="41">
        <f>G43/'Inputs &amp; Parameters'!$B$9</f>
        <v>0</v>
      </c>
      <c r="H49" s="41">
        <f>H43/'Inputs &amp; Parameters'!$B$9</f>
        <v>0</v>
      </c>
      <c r="I49" s="41">
        <f>I43/'Inputs &amp; Parameters'!$B$9</f>
        <v>0</v>
      </c>
      <c r="J49" s="41">
        <f>J43/'Inputs &amp; Parameters'!$B$9</f>
        <v>0</v>
      </c>
      <c r="K49" s="41">
        <f>K43/'Inputs &amp; Parameters'!$B$9</f>
        <v>0</v>
      </c>
      <c r="L49" s="41">
        <f>L43/'Inputs &amp; Parameters'!$B$9</f>
        <v>0</v>
      </c>
      <c r="M49" s="41">
        <f>M43/'Inputs &amp; Parameters'!$B$9</f>
        <v>0</v>
      </c>
      <c r="N49" s="41">
        <f>N43/'Inputs &amp; Parameters'!$B$9</f>
        <v>0</v>
      </c>
      <c r="O49" s="41">
        <f>O43/'Inputs &amp; Parameters'!$B$9</f>
        <v>0</v>
      </c>
      <c r="P49" s="41">
        <f>P43/'Inputs &amp; Parameters'!$B$9</f>
        <v>0</v>
      </c>
      <c r="Q49" s="41">
        <f>Q43/'Inputs &amp; Parameters'!$B$9</f>
        <v>0</v>
      </c>
      <c r="R49" s="41">
        <f>R43/'Inputs &amp; Parameters'!$B$9</f>
        <v>0</v>
      </c>
      <c r="S49" s="41">
        <f>S43/'Inputs &amp; Parameters'!$B$9</f>
        <v>0</v>
      </c>
      <c r="T49" s="41">
        <f>T43/'Inputs &amp; Parameters'!$B$9</f>
        <v>0</v>
      </c>
      <c r="U49" s="41">
        <f>U43/'Inputs &amp; Parameters'!$B$9</f>
        <v>0</v>
      </c>
      <c r="V49" s="41">
        <f>V43/'Inputs &amp; Parameters'!$B$9</f>
        <v>0</v>
      </c>
      <c r="W49" s="41">
        <f>W43/'Inputs &amp; Parameters'!$B$9</f>
        <v>0</v>
      </c>
      <c r="X49" s="41">
        <f>X43/'Inputs &amp; Parameters'!$B$9</f>
        <v>0</v>
      </c>
      <c r="Y49" s="41">
        <f>Y43/'Inputs &amp; Parameters'!$B$9</f>
        <v>0</v>
      </c>
    </row>
    <row r="50" spans="1:25" x14ac:dyDescent="0.25">
      <c r="A50" s="21" t="s">
        <v>217</v>
      </c>
      <c r="B50" s="41">
        <f>B44/'Inputs &amp; Parameters'!$B$9</f>
        <v>0</v>
      </c>
      <c r="C50" s="41">
        <f>C44/'Inputs &amp; Parameters'!$B$9</f>
        <v>0</v>
      </c>
      <c r="D50" s="41">
        <f>D44/'Inputs &amp; Parameters'!$B$9</f>
        <v>0</v>
      </c>
      <c r="E50" s="41">
        <f>E44/'Inputs &amp; Parameters'!$B$9</f>
        <v>0</v>
      </c>
      <c r="F50" s="41">
        <f>F44/'Inputs &amp; Parameters'!$B$9</f>
        <v>0</v>
      </c>
      <c r="G50" s="41">
        <f>G44/'Inputs &amp; Parameters'!$B$9</f>
        <v>0</v>
      </c>
      <c r="H50" s="41">
        <f>H44/'Inputs &amp; Parameters'!$B$9</f>
        <v>0</v>
      </c>
      <c r="I50" s="41">
        <f>I44/'Inputs &amp; Parameters'!$B$9</f>
        <v>0</v>
      </c>
      <c r="J50" s="41">
        <f>J44/'Inputs &amp; Parameters'!$B$9</f>
        <v>0</v>
      </c>
      <c r="K50" s="41">
        <f>K44/'Inputs &amp; Parameters'!$B$9</f>
        <v>0</v>
      </c>
      <c r="L50" s="41">
        <f>L44/'Inputs &amp; Parameters'!$B$9</f>
        <v>0</v>
      </c>
      <c r="M50" s="41">
        <f>M44/'Inputs &amp; Parameters'!$B$9</f>
        <v>0</v>
      </c>
      <c r="N50" s="41">
        <f>N44/'Inputs &amp; Parameters'!$B$9</f>
        <v>0</v>
      </c>
      <c r="O50" s="41">
        <f>O44/'Inputs &amp; Parameters'!$B$9</f>
        <v>0</v>
      </c>
      <c r="P50" s="41">
        <f>P44/'Inputs &amp; Parameters'!$B$9</f>
        <v>0</v>
      </c>
      <c r="Q50" s="41">
        <f>Q44/'Inputs &amp; Parameters'!$B$9</f>
        <v>0</v>
      </c>
      <c r="R50" s="41">
        <f>R44/'Inputs &amp; Parameters'!$B$9</f>
        <v>0</v>
      </c>
      <c r="S50" s="41">
        <f>S44/'Inputs &amp; Parameters'!$B$9</f>
        <v>0</v>
      </c>
      <c r="T50" s="41">
        <f>T44/'Inputs &amp; Parameters'!$B$9</f>
        <v>0</v>
      </c>
      <c r="U50" s="41">
        <f>U44/'Inputs &amp; Parameters'!$B$9</f>
        <v>0</v>
      </c>
      <c r="V50" s="41">
        <f>V44/'Inputs &amp; Parameters'!$B$9</f>
        <v>0</v>
      </c>
      <c r="W50" s="41">
        <f>W44/'Inputs &amp; Parameters'!$B$9</f>
        <v>0</v>
      </c>
      <c r="X50" s="41">
        <f>X44/'Inputs &amp; Parameters'!$B$9</f>
        <v>0</v>
      </c>
      <c r="Y50" s="41">
        <f>Y44/'Inputs &amp; Parameters'!$B$9</f>
        <v>0</v>
      </c>
    </row>
    <row r="51" spans="1:25" x14ac:dyDescent="0.25">
      <c r="A51" s="21" t="s">
        <v>218</v>
      </c>
      <c r="B51" s="41">
        <f>B45/'Inputs &amp; Parameters'!$B$9</f>
        <v>0</v>
      </c>
      <c r="C51" s="41">
        <f>C45/'Inputs &amp; Parameters'!$B$9</f>
        <v>0</v>
      </c>
      <c r="D51" s="41">
        <f>D45/'Inputs &amp; Parameters'!$B$9</f>
        <v>0</v>
      </c>
      <c r="E51" s="41">
        <f>E45/'Inputs &amp; Parameters'!$B$9</f>
        <v>0</v>
      </c>
      <c r="F51" s="41">
        <f>F45/'Inputs &amp; Parameters'!$B$9</f>
        <v>0</v>
      </c>
      <c r="G51" s="41">
        <f>G45/'Inputs &amp; Parameters'!$B$9</f>
        <v>0</v>
      </c>
      <c r="H51" s="41">
        <f>H45/'Inputs &amp; Parameters'!$B$9</f>
        <v>0</v>
      </c>
      <c r="I51" s="41">
        <f>I45/'Inputs &amp; Parameters'!$B$9</f>
        <v>0</v>
      </c>
      <c r="J51" s="41">
        <f>J45/'Inputs &amp; Parameters'!$B$9</f>
        <v>0</v>
      </c>
      <c r="K51" s="41">
        <f>K45/'Inputs &amp; Parameters'!$B$9</f>
        <v>0</v>
      </c>
      <c r="L51" s="41">
        <f>L45/'Inputs &amp; Parameters'!$B$9</f>
        <v>0</v>
      </c>
      <c r="M51" s="41">
        <f>M45/'Inputs &amp; Parameters'!$B$9</f>
        <v>0</v>
      </c>
      <c r="N51" s="41">
        <f>N45/'Inputs &amp; Parameters'!$B$9</f>
        <v>0</v>
      </c>
      <c r="O51" s="41">
        <f>O45/'Inputs &amp; Parameters'!$B$9</f>
        <v>0</v>
      </c>
      <c r="P51" s="41">
        <f>P45/'Inputs &amp; Parameters'!$B$9</f>
        <v>0</v>
      </c>
      <c r="Q51" s="41">
        <f>Q45/'Inputs &amp; Parameters'!$B$9</f>
        <v>0</v>
      </c>
      <c r="R51" s="41">
        <f>R45/'Inputs &amp; Parameters'!$B$9</f>
        <v>0</v>
      </c>
      <c r="S51" s="41">
        <f>S45/'Inputs &amp; Parameters'!$B$9</f>
        <v>0</v>
      </c>
      <c r="T51" s="41">
        <f>T45/'Inputs &amp; Parameters'!$B$9</f>
        <v>0</v>
      </c>
      <c r="U51" s="41">
        <f>U45/'Inputs &amp; Parameters'!$B$9</f>
        <v>0</v>
      </c>
      <c r="V51" s="41">
        <f>V45/'Inputs &amp; Parameters'!$B$9</f>
        <v>0</v>
      </c>
      <c r="W51" s="41">
        <f>W45/'Inputs &amp; Parameters'!$B$9</f>
        <v>0</v>
      </c>
      <c r="X51" s="41">
        <f>X45/'Inputs &amp; Parameters'!$B$9</f>
        <v>0</v>
      </c>
      <c r="Y51" s="41">
        <f>Y45/'Inputs &amp; Parameters'!$B$9</f>
        <v>0</v>
      </c>
    </row>
    <row r="52" spans="1:25" x14ac:dyDescent="0.25">
      <c r="A52" s="46" t="s">
        <v>220</v>
      </c>
      <c r="B52" s="23">
        <v>2024</v>
      </c>
      <c r="C52" s="23">
        <f t="shared" ref="C52:Y52" si="3">B52+1</f>
        <v>2025</v>
      </c>
      <c r="D52" s="23">
        <f t="shared" si="3"/>
        <v>2026</v>
      </c>
      <c r="E52" s="23">
        <f t="shared" si="3"/>
        <v>2027</v>
      </c>
      <c r="F52" s="23">
        <f t="shared" si="3"/>
        <v>2028</v>
      </c>
      <c r="G52" s="23">
        <f t="shared" si="3"/>
        <v>2029</v>
      </c>
      <c r="H52" s="23">
        <f t="shared" si="3"/>
        <v>2030</v>
      </c>
      <c r="I52" s="23">
        <f t="shared" si="3"/>
        <v>2031</v>
      </c>
      <c r="J52" s="23">
        <f t="shared" si="3"/>
        <v>2032</v>
      </c>
      <c r="K52" s="23">
        <f t="shared" si="3"/>
        <v>2033</v>
      </c>
      <c r="L52" s="23">
        <f t="shared" si="3"/>
        <v>2034</v>
      </c>
      <c r="M52" s="23">
        <f t="shared" si="3"/>
        <v>2035</v>
      </c>
      <c r="N52" s="23">
        <f t="shared" si="3"/>
        <v>2036</v>
      </c>
      <c r="O52" s="23">
        <f t="shared" si="3"/>
        <v>2037</v>
      </c>
      <c r="P52" s="23">
        <f t="shared" si="3"/>
        <v>2038</v>
      </c>
      <c r="Q52" s="23">
        <f t="shared" si="3"/>
        <v>2039</v>
      </c>
      <c r="R52" s="23">
        <f t="shared" si="3"/>
        <v>2040</v>
      </c>
      <c r="S52" s="23">
        <f t="shared" si="3"/>
        <v>2041</v>
      </c>
      <c r="T52" s="23">
        <f t="shared" si="3"/>
        <v>2042</v>
      </c>
      <c r="U52" s="23">
        <f t="shared" si="3"/>
        <v>2043</v>
      </c>
      <c r="V52" s="23">
        <f t="shared" si="3"/>
        <v>2044</v>
      </c>
      <c r="W52" s="23">
        <f t="shared" si="3"/>
        <v>2045</v>
      </c>
      <c r="X52" s="23">
        <f t="shared" si="3"/>
        <v>2046</v>
      </c>
      <c r="Y52" s="23">
        <f t="shared" si="3"/>
        <v>2047</v>
      </c>
    </row>
    <row r="53" spans="1:25" x14ac:dyDescent="0.25">
      <c r="A53" s="21" t="s">
        <v>214</v>
      </c>
      <c r="B53" s="6">
        <v>232.85396798284322</v>
      </c>
      <c r="C53" s="6">
        <v>237.33192890559022</v>
      </c>
      <c r="D53" s="6">
        <v>240.69039959765044</v>
      </c>
      <c r="E53" s="6">
        <v>245.16836052039741</v>
      </c>
      <c r="F53" s="6">
        <v>249.64632144314442</v>
      </c>
      <c r="G53" s="6">
        <v>253.00479213520464</v>
      </c>
      <c r="H53" s="6">
        <v>257.48275305795164</v>
      </c>
      <c r="I53" s="6">
        <v>261.96071398069864</v>
      </c>
      <c r="J53" s="6">
        <v>265.31918467275887</v>
      </c>
      <c r="K53" s="6">
        <v>269.79714559550587</v>
      </c>
      <c r="L53" s="6">
        <v>274.27510651825281</v>
      </c>
      <c r="M53" s="6">
        <v>277.63357721031309</v>
      </c>
      <c r="N53" s="6">
        <v>282.11153813306004</v>
      </c>
      <c r="O53" s="6">
        <v>286.58949905580704</v>
      </c>
      <c r="P53" s="6">
        <v>289.94796974786726</v>
      </c>
      <c r="Q53" s="6">
        <v>294.42593067061426</v>
      </c>
      <c r="R53" s="6">
        <v>298.90389159336127</v>
      </c>
      <c r="S53" s="6">
        <v>303.38185251610821</v>
      </c>
      <c r="T53" s="6">
        <v>307.85981343885521</v>
      </c>
      <c r="U53" s="6">
        <v>312.33777436160221</v>
      </c>
      <c r="V53" s="6">
        <v>316.81573528434916</v>
      </c>
      <c r="W53" s="6">
        <v>321.29369620709616</v>
      </c>
      <c r="X53" s="6">
        <v>325.77165712984316</v>
      </c>
      <c r="Y53" s="6">
        <v>331.36910828327689</v>
      </c>
    </row>
    <row r="54" spans="1:25" x14ac:dyDescent="0.25">
      <c r="A54" s="21" t="s">
        <v>215</v>
      </c>
      <c r="B54" s="6">
        <v>20100</v>
      </c>
      <c r="C54" s="6">
        <v>20300</v>
      </c>
      <c r="D54" s="6">
        <v>20600</v>
      </c>
      <c r="E54" s="6">
        <v>21000</v>
      </c>
      <c r="F54" s="6">
        <v>21300</v>
      </c>
      <c r="G54" s="6">
        <v>21700</v>
      </c>
      <c r="H54" s="6">
        <v>22000</v>
      </c>
      <c r="I54" s="6">
        <v>22000</v>
      </c>
      <c r="J54" s="6">
        <v>22000</v>
      </c>
      <c r="K54" s="6">
        <v>22000</v>
      </c>
      <c r="L54" s="6">
        <v>22000</v>
      </c>
      <c r="M54" s="6">
        <v>22000</v>
      </c>
      <c r="N54" s="6">
        <v>22000</v>
      </c>
      <c r="O54" s="6">
        <v>22000</v>
      </c>
      <c r="P54" s="6">
        <v>22000</v>
      </c>
      <c r="Q54" s="6">
        <v>22000</v>
      </c>
      <c r="R54" s="6">
        <v>22000</v>
      </c>
      <c r="S54" s="6">
        <v>22000</v>
      </c>
      <c r="T54" s="6">
        <v>22000</v>
      </c>
      <c r="U54" s="6">
        <v>22000</v>
      </c>
      <c r="V54" s="6">
        <v>22000</v>
      </c>
      <c r="W54" s="6">
        <v>22000</v>
      </c>
      <c r="X54" s="6">
        <v>22000</v>
      </c>
      <c r="Y54" s="6">
        <v>22000</v>
      </c>
    </row>
    <row r="55" spans="1:25" x14ac:dyDescent="0.25">
      <c r="A55" s="21" t="s">
        <v>216</v>
      </c>
      <c r="B55" s="6">
        <v>963200</v>
      </c>
      <c r="C55" s="6">
        <v>975500</v>
      </c>
      <c r="D55" s="6">
        <v>993500</v>
      </c>
      <c r="E55" s="6">
        <v>1011900</v>
      </c>
      <c r="F55" s="6">
        <v>1030600</v>
      </c>
      <c r="G55" s="6">
        <v>1049600</v>
      </c>
      <c r="H55" s="6">
        <v>1069000</v>
      </c>
      <c r="I55" s="6">
        <v>1069000</v>
      </c>
      <c r="J55" s="6">
        <v>1069000</v>
      </c>
      <c r="K55" s="6">
        <v>1069000</v>
      </c>
      <c r="L55" s="6">
        <v>1069000</v>
      </c>
      <c r="M55" s="6">
        <v>1069000</v>
      </c>
      <c r="N55" s="6">
        <v>1069000</v>
      </c>
      <c r="O55" s="6">
        <v>1069000</v>
      </c>
      <c r="P55" s="6">
        <v>1069000</v>
      </c>
      <c r="Q55" s="6">
        <v>1069000</v>
      </c>
      <c r="R55" s="6">
        <v>1069000</v>
      </c>
      <c r="S55" s="6">
        <v>1069000</v>
      </c>
      <c r="T55" s="6">
        <v>1069000</v>
      </c>
      <c r="U55" s="6">
        <v>1069000</v>
      </c>
      <c r="V55" s="6">
        <v>1069000</v>
      </c>
      <c r="W55" s="6">
        <v>1069000</v>
      </c>
      <c r="X55" s="6">
        <v>1069000</v>
      </c>
      <c r="Y55" s="6">
        <v>1069000</v>
      </c>
    </row>
    <row r="56" spans="1:25" x14ac:dyDescent="0.25">
      <c r="A56" s="21" t="s">
        <v>217</v>
      </c>
      <c r="B56" s="6">
        <v>53800</v>
      </c>
      <c r="C56" s="6">
        <v>54800</v>
      </c>
      <c r="D56" s="6">
        <v>56100</v>
      </c>
      <c r="E56" s="6">
        <v>57400</v>
      </c>
      <c r="F56" s="6">
        <v>58700</v>
      </c>
      <c r="G56" s="6">
        <v>60100</v>
      </c>
      <c r="H56" s="6">
        <v>61500</v>
      </c>
      <c r="I56" s="6">
        <v>61500</v>
      </c>
      <c r="J56" s="6">
        <v>61500</v>
      </c>
      <c r="K56" s="6">
        <v>61500</v>
      </c>
      <c r="L56" s="6">
        <v>61500</v>
      </c>
      <c r="M56" s="6">
        <v>61500</v>
      </c>
      <c r="N56" s="6">
        <v>61500</v>
      </c>
      <c r="O56" s="6">
        <v>61500</v>
      </c>
      <c r="P56" s="6">
        <v>61500</v>
      </c>
      <c r="Q56" s="6">
        <v>61500</v>
      </c>
      <c r="R56" s="6">
        <v>61500</v>
      </c>
      <c r="S56" s="6">
        <v>61500</v>
      </c>
      <c r="T56" s="6">
        <v>61500</v>
      </c>
      <c r="U56" s="6">
        <v>61500</v>
      </c>
      <c r="V56" s="6">
        <v>61500</v>
      </c>
      <c r="W56" s="6">
        <v>61500</v>
      </c>
      <c r="X56" s="6">
        <v>61500</v>
      </c>
      <c r="Y56" s="6">
        <v>61500</v>
      </c>
    </row>
    <row r="57" spans="1:25" ht="15.75" thickBot="1" x14ac:dyDescent="0.3">
      <c r="A57" s="22" t="s">
        <v>218</v>
      </c>
      <c r="B57" s="6">
        <v>2500</v>
      </c>
      <c r="C57" s="6">
        <v>2500</v>
      </c>
      <c r="D57" s="6">
        <v>2500</v>
      </c>
      <c r="E57" s="6">
        <v>2500</v>
      </c>
      <c r="F57" s="6">
        <v>2500</v>
      </c>
      <c r="G57" s="6">
        <v>2500</v>
      </c>
      <c r="H57" s="6">
        <v>2500</v>
      </c>
      <c r="I57" s="6">
        <v>2500</v>
      </c>
      <c r="J57" s="6">
        <v>2500</v>
      </c>
      <c r="K57" s="6">
        <v>2500</v>
      </c>
      <c r="L57" s="6">
        <v>2500</v>
      </c>
      <c r="M57" s="6">
        <v>2500</v>
      </c>
      <c r="N57" s="6">
        <v>2500</v>
      </c>
      <c r="O57" s="6">
        <v>2500</v>
      </c>
      <c r="P57" s="6">
        <v>2500</v>
      </c>
      <c r="Q57" s="6">
        <v>2500</v>
      </c>
      <c r="R57" s="6">
        <v>2500</v>
      </c>
      <c r="S57" s="6">
        <v>2500</v>
      </c>
      <c r="T57" s="6">
        <v>2500</v>
      </c>
      <c r="U57" s="6">
        <v>2500</v>
      </c>
      <c r="V57" s="6">
        <v>2500</v>
      </c>
      <c r="W57" s="6">
        <v>2500</v>
      </c>
      <c r="X57" s="6">
        <v>2500</v>
      </c>
      <c r="Y57" s="6">
        <v>2500</v>
      </c>
    </row>
    <row r="58" spans="1:25" x14ac:dyDescent="0.25">
      <c r="A58" s="4" t="s">
        <v>221</v>
      </c>
    </row>
    <row r="59" spans="1:25" x14ac:dyDescent="0.25">
      <c r="B59" s="76"/>
    </row>
  </sheetData>
  <mergeCells count="6">
    <mergeCell ref="A32:B32"/>
    <mergeCell ref="A18:B18"/>
    <mergeCell ref="C18:D18"/>
    <mergeCell ref="E18:F18"/>
    <mergeCell ref="A27:F27"/>
    <mergeCell ref="A28:F28"/>
  </mergeCells>
  <hyperlinks>
    <hyperlink ref="A27" r:id="rId1" xr:uid="{E572B5BE-8087-4500-BC5B-3468A9809EBF}"/>
    <hyperlink ref="B30" r:id="rId2" display="https://www.tredis.com/pdf/User_Docs/TREDIS6_Data_Sources_and_Default_Values.pdf" xr:uid="{B9B53194-89F6-4F8B-81A5-7524D0ABA017}"/>
    <hyperlink ref="C33" r:id="rId3" display="https://www.tredis.com/pdf/User_Docs/TREDIS6_Data_Sources_and_Default_Values.pdf" xr:uid="{3099149E-BBB1-4BA8-B996-450FF39B82A2}"/>
    <hyperlink ref="C35" r:id="rId4" display="https://nationalwaterwaysfoundation.org/file/28/TTI 2022 FINAL Report 2001-2019 1.pdf" xr:uid="{4DBCA15F-21AF-4A21-A724-735F39ABD1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AA69-8675-40F6-B0FB-8DB2A7388D99}">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7C35D-4119-41E0-900F-03E083EE9432}">
  <dimension ref="B2:I19"/>
  <sheetViews>
    <sheetView workbookViewId="0"/>
  </sheetViews>
  <sheetFormatPr defaultRowHeight="15" x14ac:dyDescent="0.25"/>
  <cols>
    <col min="2" max="2" width="4" customWidth="1"/>
    <col min="4" max="4" width="4.5703125" customWidth="1"/>
    <col min="5" max="5" width="5.85546875" customWidth="1"/>
    <col min="6" max="6" width="38.42578125" customWidth="1"/>
    <col min="8" max="8" width="27.42578125" customWidth="1"/>
  </cols>
  <sheetData>
    <row r="2" spans="2:9" x14ac:dyDescent="0.25">
      <c r="B2" s="68" t="s">
        <v>359</v>
      </c>
    </row>
    <row r="3" spans="2:9" x14ac:dyDescent="0.25">
      <c r="B3" t="s">
        <v>360</v>
      </c>
      <c r="G3" t="s">
        <v>361</v>
      </c>
      <c r="H3" t="s">
        <v>362</v>
      </c>
    </row>
    <row r="4" spans="2:9" x14ac:dyDescent="0.25">
      <c r="B4" t="s">
        <v>363</v>
      </c>
      <c r="G4" t="s">
        <v>361</v>
      </c>
      <c r="H4" t="s">
        <v>362</v>
      </c>
    </row>
    <row r="5" spans="2:9" x14ac:dyDescent="0.25">
      <c r="B5" t="s">
        <v>364</v>
      </c>
      <c r="G5" t="s">
        <v>361</v>
      </c>
      <c r="H5" t="s">
        <v>362</v>
      </c>
    </row>
    <row r="6" spans="2:9" x14ac:dyDescent="0.25">
      <c r="B6" t="s">
        <v>365</v>
      </c>
      <c r="G6" t="s">
        <v>366</v>
      </c>
      <c r="H6" t="s">
        <v>367</v>
      </c>
      <c r="I6" t="s">
        <v>368</v>
      </c>
    </row>
    <row r="7" spans="2:9" x14ac:dyDescent="0.25">
      <c r="C7" t="s">
        <v>369</v>
      </c>
    </row>
    <row r="8" spans="2:9" x14ac:dyDescent="0.25">
      <c r="C8" t="s">
        <v>370</v>
      </c>
    </row>
    <row r="9" spans="2:9" x14ac:dyDescent="0.25">
      <c r="C9" t="s">
        <v>371</v>
      </c>
    </row>
    <row r="11" spans="2:9" x14ac:dyDescent="0.25">
      <c r="C11" s="68" t="s">
        <v>372</v>
      </c>
    </row>
    <row r="12" spans="2:9" x14ac:dyDescent="0.25">
      <c r="D12" t="s">
        <v>373</v>
      </c>
    </row>
    <row r="13" spans="2:9" x14ac:dyDescent="0.25">
      <c r="D13" t="s">
        <v>374</v>
      </c>
    </row>
    <row r="14" spans="2:9" x14ac:dyDescent="0.25">
      <c r="D14" t="s">
        <v>375</v>
      </c>
    </row>
    <row r="15" spans="2:9" x14ac:dyDescent="0.25">
      <c r="E15" t="s">
        <v>376</v>
      </c>
    </row>
    <row r="16" spans="2:9" x14ac:dyDescent="0.25">
      <c r="F16" t="s">
        <v>377</v>
      </c>
    </row>
    <row r="17" spans="4:6" x14ac:dyDescent="0.25">
      <c r="F17" t="s">
        <v>378</v>
      </c>
    </row>
    <row r="19" spans="4:6" x14ac:dyDescent="0.25">
      <c r="D19" t="s">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16BF-47D0-4097-9B60-ED3B1190C5BE}">
  <dimension ref="A1:H25"/>
  <sheetViews>
    <sheetView tabSelected="1" workbookViewId="0">
      <selection activeCell="G25" sqref="G25"/>
    </sheetView>
  </sheetViews>
  <sheetFormatPr defaultRowHeight="15" x14ac:dyDescent="0.25"/>
  <cols>
    <col min="1" max="1" width="18.7109375" style="122" customWidth="1"/>
    <col min="2" max="2" width="32.7109375" customWidth="1"/>
    <col min="3" max="3" width="15" bestFit="1" customWidth="1"/>
    <col min="5" max="5" width="16.140625" bestFit="1" customWidth="1"/>
    <col min="6" max="6" width="12.85546875" bestFit="1" customWidth="1"/>
  </cols>
  <sheetData>
    <row r="1" spans="1:8" ht="15.75" thickBot="1" x14ac:dyDescent="0.3"/>
    <row r="2" spans="1:8" x14ac:dyDescent="0.25">
      <c r="A2" s="165" t="s">
        <v>22</v>
      </c>
      <c r="B2" s="166"/>
      <c r="C2" s="157"/>
      <c r="H2" s="127"/>
    </row>
    <row r="3" spans="1:8" x14ac:dyDescent="0.25">
      <c r="A3" s="167" t="s">
        <v>23</v>
      </c>
      <c r="B3" s="168"/>
      <c r="C3" s="119"/>
      <c r="H3" s="128"/>
    </row>
    <row r="4" spans="1:8" x14ac:dyDescent="0.25">
      <c r="A4" s="118" t="s">
        <v>24</v>
      </c>
      <c r="B4" s="118" t="s">
        <v>25</v>
      </c>
      <c r="C4" s="120">
        <f>'Truck Diversion (No Build)- Dry'!AF44</f>
        <v>71422295.828954399</v>
      </c>
      <c r="E4" s="149"/>
      <c r="F4" s="158"/>
      <c r="H4" s="128"/>
    </row>
    <row r="5" spans="1:8" x14ac:dyDescent="0.25">
      <c r="A5" s="118" t="s">
        <v>24</v>
      </c>
      <c r="B5" s="118" t="s">
        <v>26</v>
      </c>
      <c r="C5" s="120">
        <f>'Rail Diversion (No Build) - Dry'!AE61</f>
        <v>18635970.188688077</v>
      </c>
      <c r="E5" s="149"/>
      <c r="H5" s="128"/>
    </row>
    <row r="6" spans="1:8" x14ac:dyDescent="0.25">
      <c r="A6" s="118" t="s">
        <v>24</v>
      </c>
      <c r="B6" s="118" t="s">
        <v>27</v>
      </c>
      <c r="C6" s="120">
        <f>'Barge - Liquid'!$AL$98</f>
        <v>46742851.572819859</v>
      </c>
      <c r="E6" s="149"/>
    </row>
    <row r="7" spans="1:8" x14ac:dyDescent="0.25">
      <c r="A7" s="118" t="s">
        <v>28</v>
      </c>
      <c r="B7" s="118" t="s">
        <v>29</v>
      </c>
      <c r="C7" s="120">
        <f>-'Barge (Build) - Dry'!$AH$80</f>
        <v>-40809821.616384171</v>
      </c>
      <c r="E7" s="150"/>
      <c r="H7" s="26"/>
    </row>
    <row r="8" spans="1:8" x14ac:dyDescent="0.25">
      <c r="A8" s="118" t="s">
        <v>28</v>
      </c>
      <c r="B8" s="118" t="s">
        <v>27</v>
      </c>
      <c r="C8" s="120">
        <f>-'Barge - Liquid'!$AL$125</f>
        <v>-39753521.895468697</v>
      </c>
      <c r="E8" s="149"/>
      <c r="H8" s="26"/>
    </row>
    <row r="9" spans="1:8" x14ac:dyDescent="0.25">
      <c r="A9" s="118" t="s">
        <v>28</v>
      </c>
      <c r="B9" s="118" t="s">
        <v>30</v>
      </c>
      <c r="C9" s="120">
        <f>((50-20)/50)*'Capital Costs'!$B$3*VLOOKUP('Capital Costs'!$B$5+19,NPV!$B$3:$C$44,2,0)</f>
        <v>5282749.4732989389</v>
      </c>
      <c r="E9" s="149"/>
      <c r="H9" s="26"/>
    </row>
    <row r="10" spans="1:8" x14ac:dyDescent="0.25">
      <c r="A10" s="161" t="s">
        <v>31</v>
      </c>
      <c r="B10" s="162"/>
      <c r="C10" s="119"/>
      <c r="E10" s="151"/>
    </row>
    <row r="11" spans="1:8" x14ac:dyDescent="0.25">
      <c r="A11" s="118" t="s">
        <v>28</v>
      </c>
      <c r="B11" s="118" t="s">
        <v>32</v>
      </c>
      <c r="C11" s="120">
        <f>'Capital Costs'!$D$31</f>
        <v>17450878.140582819</v>
      </c>
      <c r="E11" s="149"/>
    </row>
    <row r="12" spans="1:8" s="1" customFormat="1" x14ac:dyDescent="0.25">
      <c r="A12" s="142" t="s">
        <v>33</v>
      </c>
      <c r="B12" s="143"/>
      <c r="C12" s="144">
        <f>SUM(C4:C9)-C11</f>
        <v>44069645.411325574</v>
      </c>
      <c r="E12" s="152"/>
    </row>
    <row r="13" spans="1:8" ht="15.75" thickBot="1" x14ac:dyDescent="0.3">
      <c r="A13" s="163" t="s">
        <v>34</v>
      </c>
      <c r="B13" s="164"/>
      <c r="C13" s="121">
        <f>(SUM(C4:C9)/C11)</f>
        <v>3.5253540283935387</v>
      </c>
      <c r="E13" s="153"/>
    </row>
    <row r="14" spans="1:8" ht="15.75" thickBot="1" x14ac:dyDescent="0.3"/>
    <row r="15" spans="1:8" x14ac:dyDescent="0.25">
      <c r="A15" s="165" t="s">
        <v>35</v>
      </c>
      <c r="B15" s="166"/>
      <c r="C15" s="117"/>
    </row>
    <row r="16" spans="1:8" x14ac:dyDescent="0.25">
      <c r="A16" s="167" t="s">
        <v>23</v>
      </c>
      <c r="B16" s="168"/>
      <c r="C16" s="119"/>
    </row>
    <row r="17" spans="1:5" x14ac:dyDescent="0.25">
      <c r="A17" s="118" t="s">
        <v>24</v>
      </c>
      <c r="B17" s="118" t="s">
        <v>25</v>
      </c>
      <c r="C17" s="120">
        <f>'Truck Diversion (No Build)- Dry'!$AF$69</f>
        <v>78066230.32467109</v>
      </c>
      <c r="E17" s="149"/>
    </row>
    <row r="18" spans="1:5" x14ac:dyDescent="0.25">
      <c r="A18" s="118" t="s">
        <v>24</v>
      </c>
      <c r="B18" s="118" t="s">
        <v>27</v>
      </c>
      <c r="C18" s="120">
        <f>'Barge - Liquid'!$AL$98</f>
        <v>46742851.572819859</v>
      </c>
      <c r="E18" s="149"/>
    </row>
    <row r="19" spans="1:5" x14ac:dyDescent="0.25">
      <c r="A19" s="118" t="s">
        <v>28</v>
      </c>
      <c r="B19" s="118" t="s">
        <v>29</v>
      </c>
      <c r="C19" s="120">
        <f>-'Barge (Build) - Dry'!$AH$80</f>
        <v>-40809821.616384171</v>
      </c>
      <c r="E19" s="150"/>
    </row>
    <row r="20" spans="1:5" x14ac:dyDescent="0.25">
      <c r="A20" s="118" t="s">
        <v>28</v>
      </c>
      <c r="B20" s="118" t="s">
        <v>27</v>
      </c>
      <c r="C20" s="120">
        <f>-'Barge - Liquid'!$AL$125</f>
        <v>-39753521.895468697</v>
      </c>
      <c r="E20" s="149"/>
    </row>
    <row r="21" spans="1:5" x14ac:dyDescent="0.25">
      <c r="A21" s="118" t="s">
        <v>28</v>
      </c>
      <c r="B21" s="118" t="s">
        <v>30</v>
      </c>
      <c r="C21" s="120">
        <f>((50-20)/50)*'Capital Costs'!$B$3*VLOOKUP('Capital Costs'!$B$5+19,NPV!$B$3:$C$44,2,0)</f>
        <v>5282749.4732989389</v>
      </c>
      <c r="E21" s="149"/>
    </row>
    <row r="22" spans="1:5" x14ac:dyDescent="0.25">
      <c r="A22" s="161" t="s">
        <v>31</v>
      </c>
      <c r="B22" s="162"/>
      <c r="C22" s="119"/>
      <c r="E22" s="151"/>
    </row>
    <row r="23" spans="1:5" x14ac:dyDescent="0.25">
      <c r="A23" s="118" t="s">
        <v>28</v>
      </c>
      <c r="B23" s="118" t="s">
        <v>32</v>
      </c>
      <c r="C23" s="120">
        <f>'Capital Costs'!$D$31</f>
        <v>17450878.140582819</v>
      </c>
      <c r="E23" s="149"/>
    </row>
    <row r="24" spans="1:5" s="1" customFormat="1" x14ac:dyDescent="0.25">
      <c r="A24" s="142" t="s">
        <v>33</v>
      </c>
      <c r="B24" s="143"/>
      <c r="C24" s="144">
        <f>SUM(C17:C21)-C23</f>
        <v>32077609.718354192</v>
      </c>
      <c r="E24" s="152"/>
    </row>
    <row r="25" spans="1:5" ht="15.75" thickBot="1" x14ac:dyDescent="0.3">
      <c r="A25" s="163" t="s">
        <v>34</v>
      </c>
      <c r="B25" s="164"/>
      <c r="C25" s="121">
        <f>(SUM(C17:C21)/C23)</f>
        <v>2.8381659341117187</v>
      </c>
      <c r="E25" s="153"/>
    </row>
  </sheetData>
  <mergeCells count="8">
    <mergeCell ref="A22:B22"/>
    <mergeCell ref="A25:B25"/>
    <mergeCell ref="A2:B2"/>
    <mergeCell ref="A3:B3"/>
    <mergeCell ref="A10:B10"/>
    <mergeCell ref="A13:B13"/>
    <mergeCell ref="A15:B15"/>
    <mergeCell ref="A16: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273C-9427-40B7-941E-B8597CF7923F}">
  <dimension ref="A2:BE54"/>
  <sheetViews>
    <sheetView topLeftCell="A2" zoomScale="80" zoomScaleNormal="80" workbookViewId="0">
      <selection activeCell="AL35" sqref="AL35"/>
    </sheetView>
  </sheetViews>
  <sheetFormatPr defaultRowHeight="15" x14ac:dyDescent="0.25"/>
  <cols>
    <col min="1" max="1" width="12.85546875" customWidth="1"/>
    <col min="3" max="3" width="11.5703125" customWidth="1"/>
    <col min="4" max="4" width="12.28515625" customWidth="1"/>
    <col min="5" max="6" width="13.42578125" customWidth="1"/>
    <col min="7" max="7" width="13.28515625" customWidth="1"/>
    <col min="8" max="8" width="12.5703125" bestFit="1" customWidth="1"/>
    <col min="9" max="9" width="12.5703125" customWidth="1"/>
    <col min="10" max="11" width="12.140625" customWidth="1"/>
    <col min="12" max="14" width="14.140625" customWidth="1"/>
    <col min="16" max="16" width="11" customWidth="1"/>
    <col min="17" max="17" width="14" customWidth="1"/>
    <col min="18" max="18" width="13.5703125" customWidth="1"/>
    <col min="19" max="19" width="14.28515625" customWidth="1"/>
    <col min="20" max="20" width="10.7109375" customWidth="1"/>
    <col min="21" max="21" width="12.42578125" customWidth="1"/>
    <col min="22" max="22" width="13.28515625" customWidth="1"/>
    <col min="23" max="25" width="14.42578125" customWidth="1"/>
    <col min="26" max="33" width="12.28515625" customWidth="1"/>
    <col min="34" max="35" width="18.7109375" customWidth="1"/>
  </cols>
  <sheetData>
    <row r="2" spans="1:57" ht="20.25" thickBot="1" x14ac:dyDescent="0.35">
      <c r="A2" s="19" t="s">
        <v>36</v>
      </c>
    </row>
    <row r="3" spans="1:57" ht="29.45" customHeight="1" thickTop="1" x14ac:dyDescent="0.25">
      <c r="C3" s="170" t="s">
        <v>37</v>
      </c>
      <c r="D3" s="170"/>
      <c r="E3" s="170"/>
      <c r="F3" s="170"/>
      <c r="G3" s="170"/>
      <c r="H3" s="1"/>
      <c r="I3" s="171" t="s">
        <v>38</v>
      </c>
      <c r="J3" s="171"/>
      <c r="K3" s="171"/>
      <c r="L3" s="171"/>
      <c r="M3" s="171"/>
      <c r="N3" s="171"/>
      <c r="O3" s="171"/>
      <c r="P3" s="171"/>
      <c r="Q3" s="171"/>
      <c r="R3" s="171"/>
      <c r="S3" s="171"/>
      <c r="T3" s="137"/>
      <c r="U3" s="171" t="s">
        <v>39</v>
      </c>
      <c r="V3" s="171"/>
      <c r="W3" s="171"/>
      <c r="X3" s="171"/>
      <c r="Y3" s="171"/>
      <c r="Z3" s="171"/>
      <c r="AA3" s="171"/>
      <c r="AB3" s="171"/>
      <c r="AC3" s="171"/>
      <c r="AD3" s="171"/>
      <c r="AE3" s="137"/>
      <c r="AF3" s="15" t="s">
        <v>30</v>
      </c>
      <c r="AG3" s="137"/>
      <c r="AH3" s="15" t="s">
        <v>40</v>
      </c>
      <c r="AI3" s="15" t="s">
        <v>41</v>
      </c>
      <c r="AL3" s="1"/>
      <c r="AM3" s="137"/>
      <c r="AN3" s="137"/>
      <c r="AO3" s="137"/>
      <c r="AP3" s="137"/>
      <c r="AQ3" s="137"/>
      <c r="AR3" s="137"/>
      <c r="AS3" s="137"/>
      <c r="AT3" s="137"/>
      <c r="AU3" s="137"/>
      <c r="AV3" s="137"/>
      <c r="AW3" s="136"/>
      <c r="AX3" s="169"/>
      <c r="AY3" s="169"/>
      <c r="AZ3" s="1"/>
      <c r="BC3" s="1"/>
      <c r="BD3" s="1"/>
      <c r="BE3" s="1"/>
    </row>
    <row r="4" spans="1:57" s="74" customFormat="1" ht="60" x14ac:dyDescent="0.25">
      <c r="A4" s="15" t="s">
        <v>42</v>
      </c>
      <c r="B4" s="130"/>
      <c r="C4" s="15" t="s">
        <v>43</v>
      </c>
      <c r="D4" s="15" t="s">
        <v>44</v>
      </c>
      <c r="E4" s="131" t="s">
        <v>390</v>
      </c>
      <c r="F4" s="15" t="s">
        <v>387</v>
      </c>
      <c r="G4" s="15" t="s">
        <v>45</v>
      </c>
      <c r="H4" s="130"/>
      <c r="I4" s="141" t="s">
        <v>46</v>
      </c>
      <c r="J4" s="141" t="s">
        <v>47</v>
      </c>
      <c r="K4" s="141" t="s">
        <v>48</v>
      </c>
      <c r="L4" s="15" t="s">
        <v>49</v>
      </c>
      <c r="M4" s="15" t="s">
        <v>389</v>
      </c>
      <c r="N4" s="15" t="s">
        <v>288</v>
      </c>
      <c r="O4" s="15" t="s">
        <v>50</v>
      </c>
      <c r="P4" s="15" t="s">
        <v>51</v>
      </c>
      <c r="Q4" s="15" t="s">
        <v>52</v>
      </c>
      <c r="R4" s="15" t="s">
        <v>392</v>
      </c>
      <c r="S4" s="15" t="s">
        <v>45</v>
      </c>
      <c r="T4" s="140" t="s">
        <v>53</v>
      </c>
      <c r="U4" s="141" t="s">
        <v>54</v>
      </c>
      <c r="V4" s="141" t="s">
        <v>48</v>
      </c>
      <c r="W4" s="15" t="s">
        <v>49</v>
      </c>
      <c r="X4" s="15" t="s">
        <v>389</v>
      </c>
      <c r="Y4" s="15" t="s">
        <v>288</v>
      </c>
      <c r="Z4" s="15" t="s">
        <v>50</v>
      </c>
      <c r="AA4" s="15" t="s">
        <v>51</v>
      </c>
      <c r="AB4" s="15" t="s">
        <v>52</v>
      </c>
      <c r="AC4" s="15" t="s">
        <v>392</v>
      </c>
      <c r="AD4" s="15" t="s">
        <v>45</v>
      </c>
      <c r="AE4" s="136"/>
      <c r="AF4" s="15" t="s">
        <v>30</v>
      </c>
      <c r="AH4" s="15" t="s">
        <v>45</v>
      </c>
      <c r="AI4" s="15" t="s">
        <v>45</v>
      </c>
    </row>
    <row r="5" spans="1:57" x14ac:dyDescent="0.25">
      <c r="A5" s="5">
        <f>'Truck Diversion (No Build)- Dry'!B3</f>
        <v>2028</v>
      </c>
      <c r="B5" s="9"/>
      <c r="C5" s="16">
        <f>'Barge - Liquid'!L78-'Barge - Liquid'!L105</f>
        <v>106691.05194245161</v>
      </c>
      <c r="D5" s="16">
        <f>'Barge - Liquid'!F78-'Barge - Liquid'!F105</f>
        <v>300000</v>
      </c>
      <c r="E5" s="16">
        <f>'Barge - Liquid'!J78-'Barge - Liquid'!J105</f>
        <v>19250</v>
      </c>
      <c r="F5" s="16">
        <f>'Barge - Liquid'!N78</f>
        <v>126398.65940183081</v>
      </c>
      <c r="G5" s="16">
        <f>SUM(C5:F5)</f>
        <v>552339.71134428238</v>
      </c>
      <c r="H5" s="8"/>
      <c r="I5" s="16">
        <f>'Truck Diversion (No Build)- Dry'!F24</f>
        <v>2493444.0960000004</v>
      </c>
      <c r="J5" s="16">
        <f>'Rail Diversion (No Build) - Dry'!G41</f>
        <v>339353.04</v>
      </c>
      <c r="K5" s="16">
        <f>'Barge (Build) - Dry'!F60</f>
        <v>2183471.1169636063</v>
      </c>
      <c r="L5" s="138">
        <f>(I5+J5)-K5</f>
        <v>649326.01903639408</v>
      </c>
      <c r="M5" s="138">
        <f>'Truck Diversion (No Build)- Dry'!H24-'Barge (Build) - Dry'!H60</f>
        <v>1146359.3748666667</v>
      </c>
      <c r="N5" s="138">
        <f>'Truck Diversion (No Build)- Dry'!J24</f>
        <v>94448.640000000014</v>
      </c>
      <c r="O5" s="16">
        <f>('Truck Diversion (No Build)- Dry'!Z24+'Rail Diversion (No Build) - Dry'!AB41)-'Barge (Build) - Dry'!AD60</f>
        <v>41626.804287529354</v>
      </c>
      <c r="P5" s="16">
        <f>'Truck Diversion (No Build)- Dry'!V24+'Truck Diversion (No Build)- Dry'!X24</f>
        <v>487354.98239999998</v>
      </c>
      <c r="Q5" s="16">
        <f>('Truck Diversion (No Build)- Dry'!S24+'Rail Diversion (No Build) - Dry'!R41)-'Barge (Build) - Dry'!W60</f>
        <v>1547109.3521403428</v>
      </c>
      <c r="R5" s="138">
        <f>'Barge - Liquid'!$B$67*-0.5</f>
        <v>-38500</v>
      </c>
      <c r="S5" s="16">
        <f t="shared" ref="S5:S24" si="0">SUM(L5:R5)</f>
        <v>3927725.1727309329</v>
      </c>
      <c r="U5" s="16">
        <f>'Truck Diversion (No Build)- Dry'!F49</f>
        <v>2725392.3840000005</v>
      </c>
      <c r="V5" s="16">
        <f t="shared" ref="V5:V24" si="1">K5</f>
        <v>2183471.1169636063</v>
      </c>
      <c r="W5" s="138">
        <f>U5-V5</f>
        <v>541921.26703639422</v>
      </c>
      <c r="X5" s="138">
        <f>'Truck Diversion (No Build)- Dry'!H49-'Barge (Build) - Dry'!H60</f>
        <v>1313591.3748666667</v>
      </c>
      <c r="Y5" s="138">
        <f>'Truck Diversion (No Build)- Dry'!J49</f>
        <v>103234.56000000001</v>
      </c>
      <c r="Z5" s="16">
        <f>'Truck Diversion (No Build)- Dry'!Z49-'Barge (Build) - Dry'!AD60</f>
        <v>41240.663172268447</v>
      </c>
      <c r="AA5" s="16">
        <f>'Truck Diversion (No Build)- Dry'!V49+'Truck Diversion (No Build)- Dry'!X49</f>
        <v>532690.32960000006</v>
      </c>
      <c r="AB5" s="16">
        <f>'Truck Diversion (No Build)- Dry'!S49-'Barge (Build) - Dry'!W60</f>
        <v>512584.49454034294</v>
      </c>
      <c r="AC5" s="138">
        <f>'Barge - Liquid'!$B$67*-0.5</f>
        <v>-38500</v>
      </c>
      <c r="AD5" s="16">
        <f>SUM(W5:AC5)</f>
        <v>3006762.6892156727</v>
      </c>
      <c r="AE5" s="8"/>
      <c r="AF5" s="16">
        <v>0</v>
      </c>
      <c r="AH5" s="16">
        <f t="shared" ref="AH5:AH25" si="2">SUM(G5,S5,AF5)</f>
        <v>4480064.8840752151</v>
      </c>
      <c r="AI5" s="16">
        <f t="shared" ref="AI5:AI25" si="3">SUM(G5,AD5,AF5)</f>
        <v>3559102.4005599553</v>
      </c>
      <c r="AK5" s="61"/>
      <c r="AL5" s="61"/>
      <c r="AM5" s="61"/>
    </row>
    <row r="6" spans="1:57" x14ac:dyDescent="0.25">
      <c r="A6" s="5">
        <f>A5+1</f>
        <v>2029</v>
      </c>
      <c r="B6" s="9"/>
      <c r="C6" s="16">
        <f>'Barge - Liquid'!L79-'Barge - Liquid'!L106</f>
        <v>106691.05194245161</v>
      </c>
      <c r="D6" s="16">
        <f>'Barge - Liquid'!F79-'Barge - Liquid'!F106</f>
        <v>300000</v>
      </c>
      <c r="E6" s="16">
        <f>'Barge - Liquid'!J79-'Barge - Liquid'!J106</f>
        <v>19250</v>
      </c>
      <c r="F6" s="16">
        <f>'Barge - Liquid'!N79</f>
        <v>126398.65940183081</v>
      </c>
      <c r="G6" s="16">
        <f t="shared" ref="G6:G24" si="4">SUM(C6:F6)</f>
        <v>552339.71134428238</v>
      </c>
      <c r="H6" s="8"/>
      <c r="I6" s="16">
        <f>'Truck Diversion (No Build)- Dry'!F25</f>
        <v>2493444.0960000004</v>
      </c>
      <c r="J6" s="16">
        <f>'Rail Diversion (No Build) - Dry'!G42</f>
        <v>339353.04</v>
      </c>
      <c r="K6" s="16">
        <f>'Barge (Build) - Dry'!F61</f>
        <v>2183471.1169636063</v>
      </c>
      <c r="L6" s="138">
        <f t="shared" ref="L6:L24" si="5">(I6+J6)-K6</f>
        <v>649326.01903639408</v>
      </c>
      <c r="M6" s="138">
        <f>'Truck Diversion (No Build)- Dry'!H25-'Barge (Build) - Dry'!H61</f>
        <v>1146359.3748666667</v>
      </c>
      <c r="N6" s="138">
        <f>'Truck Diversion (No Build)- Dry'!J25</f>
        <v>94448.640000000014</v>
      </c>
      <c r="O6" s="16">
        <f>('Truck Diversion (No Build)- Dry'!Z25+'Rail Diversion (No Build) - Dry'!AB42)-'Barge (Build) - Dry'!AD61</f>
        <v>41561.038141871657</v>
      </c>
      <c r="P6" s="16">
        <f>'Truck Diversion (No Build)- Dry'!V25+'Truck Diversion (No Build)- Dry'!X25</f>
        <v>487354.98239999998</v>
      </c>
      <c r="Q6" s="16">
        <f>('Truck Diversion (No Build)- Dry'!S25+'Rail Diversion (No Build) - Dry'!R42)-'Barge (Build) - Dry'!W61</f>
        <v>1544672.3331000784</v>
      </c>
      <c r="R6" s="138">
        <f>'Barge - Liquid'!$B$67*-0.5</f>
        <v>-38500</v>
      </c>
      <c r="S6" s="16">
        <f t="shared" si="0"/>
        <v>3925222.387545011</v>
      </c>
      <c r="U6" s="16">
        <f>'Truck Diversion (No Build)- Dry'!F50</f>
        <v>2725392.3840000005</v>
      </c>
      <c r="V6" s="16">
        <f t="shared" si="1"/>
        <v>2183471.1169636063</v>
      </c>
      <c r="W6" s="138">
        <f t="shared" ref="W6:W24" si="6">U6-V6</f>
        <v>541921.26703639422</v>
      </c>
      <c r="X6" s="138">
        <f>'Truck Diversion (No Build)- Dry'!H50-'Barge (Build) - Dry'!H61</f>
        <v>1313591.3748666667</v>
      </c>
      <c r="Y6" s="138">
        <f>'Truck Diversion (No Build)- Dry'!J50</f>
        <v>103234.56000000001</v>
      </c>
      <c r="Z6" s="16">
        <f>'Truck Diversion (No Build)- Dry'!Z50-'Barge (Build) - Dry'!AD61</f>
        <v>41240.663172268447</v>
      </c>
      <c r="AA6" s="16">
        <f>'Truck Diversion (No Build)- Dry'!V50+'Truck Diversion (No Build)- Dry'!X50</f>
        <v>532690.32960000006</v>
      </c>
      <c r="AB6" s="16">
        <f>'Truck Diversion (No Build)- Dry'!S50-'Barge (Build) - Dry'!W61</f>
        <v>510147.47550007852</v>
      </c>
      <c r="AC6" s="138">
        <f>'Barge - Liquid'!$B$67*-0.5</f>
        <v>-38500</v>
      </c>
      <c r="AD6" s="16">
        <f t="shared" ref="AD6:AD24" si="7">SUM(W6:AC6)</f>
        <v>3004325.670175408</v>
      </c>
      <c r="AE6" s="8"/>
      <c r="AF6" s="16">
        <v>0</v>
      </c>
      <c r="AH6" s="16">
        <f t="shared" si="2"/>
        <v>4477562.0988892931</v>
      </c>
      <c r="AI6" s="16">
        <f t="shared" si="3"/>
        <v>3556665.3815196902</v>
      </c>
      <c r="AK6" s="61"/>
      <c r="AL6" s="61"/>
      <c r="AM6" s="61"/>
    </row>
    <row r="7" spans="1:57" x14ac:dyDescent="0.25">
      <c r="A7" s="5">
        <f t="shared" ref="A7:A24" si="8">A6+1</f>
        <v>2030</v>
      </c>
      <c r="B7" s="9"/>
      <c r="C7" s="16">
        <f>'Barge - Liquid'!L80-'Barge - Liquid'!L107</f>
        <v>106691.05194245161</v>
      </c>
      <c r="D7" s="16">
        <f>'Barge - Liquid'!F80-'Barge - Liquid'!F107</f>
        <v>300000</v>
      </c>
      <c r="E7" s="16">
        <f>'Barge - Liquid'!J80-'Barge - Liquid'!J107</f>
        <v>19250</v>
      </c>
      <c r="F7" s="16">
        <f>'Barge - Liquid'!N80</f>
        <v>126398.65940183081</v>
      </c>
      <c r="G7" s="16">
        <f t="shared" si="4"/>
        <v>552339.71134428238</v>
      </c>
      <c r="H7" s="8"/>
      <c r="I7" s="16">
        <f>'Truck Diversion (No Build)- Dry'!F26</f>
        <v>2493444.0960000004</v>
      </c>
      <c r="J7" s="16">
        <f>'Rail Diversion (No Build) - Dry'!G43</f>
        <v>339353.04</v>
      </c>
      <c r="K7" s="16">
        <f>'Barge (Build) - Dry'!F62</f>
        <v>2183471.1169636063</v>
      </c>
      <c r="L7" s="138">
        <f t="shared" si="5"/>
        <v>649326.01903639408</v>
      </c>
      <c r="M7" s="138">
        <f>'Truck Diversion (No Build)- Dry'!H26-'Barge (Build) - Dry'!H62</f>
        <v>1146359.3748666667</v>
      </c>
      <c r="N7" s="138">
        <f>'Truck Diversion (No Build)- Dry'!J26</f>
        <v>94448.640000000014</v>
      </c>
      <c r="O7" s="16">
        <f>('Truck Diversion (No Build)- Dry'!Z26+'Rail Diversion (No Build) - Dry'!AB43)-'Barge (Build) - Dry'!AD62</f>
        <v>41497.249445792411</v>
      </c>
      <c r="P7" s="16">
        <f>'Truck Diversion (No Build)- Dry'!V26+'Truck Diversion (No Build)- Dry'!X26</f>
        <v>487354.98239999998</v>
      </c>
      <c r="Q7" s="16">
        <f>('Truck Diversion (No Build)- Dry'!S26+'Rail Diversion (No Build) - Dry'!R43)-'Barge (Build) - Dry'!W62</f>
        <v>1541422.9743797258</v>
      </c>
      <c r="R7" s="138">
        <f>'Barge - Liquid'!$B$67*-0.5</f>
        <v>-38500</v>
      </c>
      <c r="S7" s="16">
        <f t="shared" si="0"/>
        <v>3921909.2401285791</v>
      </c>
      <c r="U7" s="16">
        <f>'Truck Diversion (No Build)- Dry'!F51</f>
        <v>2725392.3840000005</v>
      </c>
      <c r="V7" s="16">
        <f t="shared" si="1"/>
        <v>2183471.1169636063</v>
      </c>
      <c r="W7" s="138">
        <f t="shared" si="6"/>
        <v>541921.26703639422</v>
      </c>
      <c r="X7" s="138">
        <f>'Truck Diversion (No Build)- Dry'!H51-'Barge (Build) - Dry'!H62</f>
        <v>1313591.3748666667</v>
      </c>
      <c r="Y7" s="138">
        <f>'Truck Diversion (No Build)- Dry'!J51</f>
        <v>103234.56000000001</v>
      </c>
      <c r="Z7" s="16">
        <f>'Truck Diversion (No Build)- Dry'!Z51-'Barge (Build) - Dry'!AD62</f>
        <v>41240.663172268447</v>
      </c>
      <c r="AA7" s="16">
        <f>'Truck Diversion (No Build)- Dry'!V51+'Truck Diversion (No Build)- Dry'!X51</f>
        <v>532690.32960000006</v>
      </c>
      <c r="AB7" s="16">
        <f>'Truck Diversion (No Build)- Dry'!S51-'Barge (Build) - Dry'!W62</f>
        <v>506898.11677972588</v>
      </c>
      <c r="AC7" s="138">
        <f>'Barge - Liquid'!$B$67*-0.5</f>
        <v>-38500</v>
      </c>
      <c r="AD7" s="16">
        <f t="shared" si="7"/>
        <v>3001076.3114550556</v>
      </c>
      <c r="AE7" s="8"/>
      <c r="AF7" s="16">
        <v>0</v>
      </c>
      <c r="AH7" s="16">
        <f t="shared" si="2"/>
        <v>4474248.9514728617</v>
      </c>
      <c r="AI7" s="16">
        <f t="shared" si="3"/>
        <v>3553416.0227993382</v>
      </c>
      <c r="AK7" s="61"/>
      <c r="AL7" s="61"/>
      <c r="AM7" s="61"/>
    </row>
    <row r="8" spans="1:57" x14ac:dyDescent="0.25">
      <c r="A8" s="5">
        <f t="shared" si="8"/>
        <v>2031</v>
      </c>
      <c r="B8" s="9"/>
      <c r="C8" s="16">
        <f>'Barge - Liquid'!L81-'Barge - Liquid'!L108</f>
        <v>106691.05194245161</v>
      </c>
      <c r="D8" s="16">
        <f>'Barge - Liquid'!F81-'Barge - Liquid'!F108</f>
        <v>300000</v>
      </c>
      <c r="E8" s="16">
        <f>'Barge - Liquid'!J81-'Barge - Liquid'!J108</f>
        <v>19250</v>
      </c>
      <c r="F8" s="16">
        <f>'Barge - Liquid'!N81</f>
        <v>126398.65940183081</v>
      </c>
      <c r="G8" s="16">
        <f t="shared" si="4"/>
        <v>552339.71134428238</v>
      </c>
      <c r="H8" s="8"/>
      <c r="I8" s="16">
        <f>'Truck Diversion (No Build)- Dry'!F27</f>
        <v>2493444.0960000004</v>
      </c>
      <c r="J8" s="16">
        <f>'Rail Diversion (No Build) - Dry'!G44</f>
        <v>339353.04</v>
      </c>
      <c r="K8" s="16">
        <f>'Barge (Build) - Dry'!F63</f>
        <v>2183471.1169636063</v>
      </c>
      <c r="L8" s="138">
        <f t="shared" si="5"/>
        <v>649326.01903639408</v>
      </c>
      <c r="M8" s="138">
        <f>'Truck Diversion (No Build)- Dry'!H27-'Barge (Build) - Dry'!H63</f>
        <v>1146359.3748666667</v>
      </c>
      <c r="N8" s="138">
        <f>'Truck Diversion (No Build)- Dry'!J27</f>
        <v>94448.640000000014</v>
      </c>
      <c r="O8" s="16">
        <f>('Truck Diversion (No Build)- Dry'!Z27+'Rail Diversion (No Build) - Dry'!AB44)-'Barge (Build) - Dry'!AD63</f>
        <v>41435.378741544839</v>
      </c>
      <c r="P8" s="16">
        <f>'Truck Diversion (No Build)- Dry'!V27+'Truck Diversion (No Build)- Dry'!X27</f>
        <v>487354.98239999998</v>
      </c>
      <c r="Q8" s="16">
        <f>('Truck Diversion (No Build)- Dry'!S27+'Rail Diversion (No Build) - Dry'!R44)-'Barge (Build) - Dry'!W63</f>
        <v>1538173.6156593731</v>
      </c>
      <c r="R8" s="138">
        <f>'Barge - Liquid'!$B$67*-0.5</f>
        <v>-38500</v>
      </c>
      <c r="S8" s="16">
        <f t="shared" si="0"/>
        <v>3918598.0107039791</v>
      </c>
      <c r="U8" s="16">
        <f>'Truck Diversion (No Build)- Dry'!F52</f>
        <v>2725392.3840000005</v>
      </c>
      <c r="V8" s="16">
        <f t="shared" si="1"/>
        <v>2183471.1169636063</v>
      </c>
      <c r="W8" s="138">
        <f t="shared" si="6"/>
        <v>541921.26703639422</v>
      </c>
      <c r="X8" s="138">
        <f>'Truck Diversion (No Build)- Dry'!H52-'Barge (Build) - Dry'!H63</f>
        <v>1313591.3748666667</v>
      </c>
      <c r="Y8" s="138">
        <f>'Truck Diversion (No Build)- Dry'!J52</f>
        <v>103234.56000000001</v>
      </c>
      <c r="Z8" s="16">
        <f>'Truck Diversion (No Build)- Dry'!Z52-'Barge (Build) - Dry'!AD63</f>
        <v>41240.663172268447</v>
      </c>
      <c r="AA8" s="16">
        <f>'Truck Diversion (No Build)- Dry'!V52+'Truck Diversion (No Build)- Dry'!X52</f>
        <v>532690.32960000006</v>
      </c>
      <c r="AB8" s="16">
        <f>'Truck Diversion (No Build)- Dry'!S52-'Barge (Build) - Dry'!W63</f>
        <v>503648.7580593733</v>
      </c>
      <c r="AC8" s="138">
        <f>'Barge - Liquid'!$B$67*-0.5</f>
        <v>-38500</v>
      </c>
      <c r="AD8" s="16">
        <f t="shared" si="7"/>
        <v>2997826.9527347027</v>
      </c>
      <c r="AE8" s="8"/>
      <c r="AF8" s="16">
        <v>0</v>
      </c>
      <c r="AH8" s="16">
        <f t="shared" si="2"/>
        <v>4470937.7220482612</v>
      </c>
      <c r="AI8" s="16">
        <f t="shared" si="3"/>
        <v>3550166.6640789853</v>
      </c>
      <c r="AK8" s="61"/>
      <c r="AL8" s="61"/>
      <c r="AM8" s="61"/>
    </row>
    <row r="9" spans="1:57" x14ac:dyDescent="0.25">
      <c r="A9" s="5">
        <f t="shared" si="8"/>
        <v>2032</v>
      </c>
      <c r="B9" s="9"/>
      <c r="C9" s="16">
        <f>'Barge - Liquid'!L82-'Barge - Liquid'!L109</f>
        <v>106691.05194245161</v>
      </c>
      <c r="D9" s="16">
        <f>'Barge - Liquid'!F82-'Barge - Liquid'!F109</f>
        <v>300000</v>
      </c>
      <c r="E9" s="16">
        <f>'Barge - Liquid'!J82-'Barge - Liquid'!J109</f>
        <v>19250</v>
      </c>
      <c r="F9" s="16">
        <f>'Barge - Liquid'!N82</f>
        <v>126398.65940183081</v>
      </c>
      <c r="G9" s="16">
        <f t="shared" si="4"/>
        <v>552339.71134428238</v>
      </c>
      <c r="H9" s="8"/>
      <c r="I9" s="16">
        <f>'Truck Diversion (No Build)- Dry'!F28</f>
        <v>2493444.0960000004</v>
      </c>
      <c r="J9" s="16">
        <f>'Rail Diversion (No Build) - Dry'!G45</f>
        <v>339353.04</v>
      </c>
      <c r="K9" s="16">
        <f>'Barge (Build) - Dry'!F64</f>
        <v>2183471.1169636063</v>
      </c>
      <c r="L9" s="138">
        <f t="shared" si="5"/>
        <v>649326.01903639408</v>
      </c>
      <c r="M9" s="138">
        <f>'Truck Diversion (No Build)- Dry'!H28-'Barge (Build) - Dry'!H64</f>
        <v>1146359.3748666667</v>
      </c>
      <c r="N9" s="138">
        <f>'Truck Diversion (No Build)- Dry'!J28</f>
        <v>94448.640000000014</v>
      </c>
      <c r="O9" s="16">
        <f>('Truck Diversion (No Build)- Dry'!Z28+'Rail Diversion (No Build) - Dry'!AB45)-'Barge (Build) - Dry'!AD64</f>
        <v>41375.368359151471</v>
      </c>
      <c r="P9" s="16">
        <f>'Truck Diversion (No Build)- Dry'!V28+'Truck Diversion (No Build)- Dry'!X28</f>
        <v>487354.98239999998</v>
      </c>
      <c r="Q9" s="16">
        <f>('Truck Diversion (No Build)- Dry'!S28+'Rail Diversion (No Build) - Dry'!R45)-'Barge (Build) - Dry'!W64</f>
        <v>1535736.5966191087</v>
      </c>
      <c r="R9" s="138">
        <f>'Barge - Liquid'!$B$67*-0.5</f>
        <v>-38500</v>
      </c>
      <c r="S9" s="16">
        <f t="shared" si="0"/>
        <v>3916100.981281321</v>
      </c>
      <c r="U9" s="16">
        <f>'Truck Diversion (No Build)- Dry'!F53</f>
        <v>2725392.3840000005</v>
      </c>
      <c r="V9" s="16">
        <f t="shared" si="1"/>
        <v>2183471.1169636063</v>
      </c>
      <c r="W9" s="138">
        <f t="shared" si="6"/>
        <v>541921.26703639422</v>
      </c>
      <c r="X9" s="138">
        <f>'Truck Diversion (No Build)- Dry'!H53-'Barge (Build) - Dry'!H64</f>
        <v>1313591.3748666667</v>
      </c>
      <c r="Y9" s="138">
        <f>'Truck Diversion (No Build)- Dry'!J53</f>
        <v>103234.56000000001</v>
      </c>
      <c r="Z9" s="16">
        <f>'Truck Diversion (No Build)- Dry'!Z53-'Barge (Build) - Dry'!AD64</f>
        <v>41240.663172268447</v>
      </c>
      <c r="AA9" s="16">
        <f>'Truck Diversion (No Build)- Dry'!V53+'Truck Diversion (No Build)- Dry'!X53</f>
        <v>532690.32960000006</v>
      </c>
      <c r="AB9" s="16">
        <f>'Truck Diversion (No Build)- Dry'!S53-'Barge (Build) - Dry'!W64</f>
        <v>501211.73901910888</v>
      </c>
      <c r="AC9" s="138">
        <f>'Barge - Liquid'!$B$67*-0.5</f>
        <v>-38500</v>
      </c>
      <c r="AD9" s="16">
        <f t="shared" si="7"/>
        <v>2995389.9336944385</v>
      </c>
      <c r="AE9" s="8"/>
      <c r="AF9" s="16">
        <v>0</v>
      </c>
      <c r="AH9" s="16">
        <f t="shared" si="2"/>
        <v>4468440.6926256036</v>
      </c>
      <c r="AI9" s="16">
        <f t="shared" si="3"/>
        <v>3547729.6450387212</v>
      </c>
      <c r="AK9" s="61"/>
      <c r="AL9" s="61"/>
      <c r="AM9" s="61"/>
    </row>
    <row r="10" spans="1:57" x14ac:dyDescent="0.25">
      <c r="A10" s="5">
        <f t="shared" si="8"/>
        <v>2033</v>
      </c>
      <c r="B10" s="9"/>
      <c r="C10" s="16">
        <f>'Barge - Liquid'!L83-'Barge - Liquid'!L110</f>
        <v>106691.05194245161</v>
      </c>
      <c r="D10" s="16">
        <f>'Barge - Liquid'!F83-'Barge - Liquid'!F110</f>
        <v>300000</v>
      </c>
      <c r="E10" s="16">
        <f>'Barge - Liquid'!J83-'Barge - Liquid'!J110</f>
        <v>19250</v>
      </c>
      <c r="F10" s="16">
        <f>'Barge - Liquid'!N83</f>
        <v>126398.65940183081</v>
      </c>
      <c r="G10" s="16">
        <f t="shared" si="4"/>
        <v>552339.71134428238</v>
      </c>
      <c r="H10" s="8"/>
      <c r="I10" s="16">
        <f>'Truck Diversion (No Build)- Dry'!F29</f>
        <v>2493444.0960000004</v>
      </c>
      <c r="J10" s="16">
        <f>'Rail Diversion (No Build) - Dry'!G46</f>
        <v>339353.04</v>
      </c>
      <c r="K10" s="16">
        <f>'Barge (Build) - Dry'!F65</f>
        <v>2183471.1169636063</v>
      </c>
      <c r="L10" s="138">
        <f t="shared" si="5"/>
        <v>649326.01903639408</v>
      </c>
      <c r="M10" s="138">
        <f>'Truck Diversion (No Build)- Dry'!H29-'Barge (Build) - Dry'!H65</f>
        <v>1146359.3748666667</v>
      </c>
      <c r="N10" s="138">
        <f>'Truck Diversion (No Build)- Dry'!J29</f>
        <v>94448.640000000014</v>
      </c>
      <c r="O10" s="16">
        <f>('Truck Diversion (No Build)- Dry'!Z29+'Rail Diversion (No Build) - Dry'!AB46)-'Barge (Build) - Dry'!AD65</f>
        <v>41317.162362649651</v>
      </c>
      <c r="P10" s="16">
        <f>'Truck Diversion (No Build)- Dry'!V29+'Truck Diversion (No Build)- Dry'!X29</f>
        <v>487354.98239999998</v>
      </c>
      <c r="Q10" s="16">
        <f>('Truck Diversion (No Build)- Dry'!S29+'Rail Diversion (No Build) - Dry'!R46)-'Barge (Build) - Dry'!W65</f>
        <v>1532487.2378987561</v>
      </c>
      <c r="R10" s="138">
        <f>'Barge - Liquid'!$B$67*-0.5</f>
        <v>-38500</v>
      </c>
      <c r="S10" s="16">
        <f t="shared" si="0"/>
        <v>3912793.4165644664</v>
      </c>
      <c r="U10" s="16">
        <f>'Truck Diversion (No Build)- Dry'!F54</f>
        <v>2725392.3840000005</v>
      </c>
      <c r="V10" s="16">
        <f t="shared" si="1"/>
        <v>2183471.1169636063</v>
      </c>
      <c r="W10" s="138">
        <f t="shared" si="6"/>
        <v>541921.26703639422</v>
      </c>
      <c r="X10" s="138">
        <f>'Truck Diversion (No Build)- Dry'!H54-'Barge (Build) - Dry'!H65</f>
        <v>1313591.3748666667</v>
      </c>
      <c r="Y10" s="138">
        <f>'Truck Diversion (No Build)- Dry'!J54</f>
        <v>103234.56000000001</v>
      </c>
      <c r="Z10" s="16">
        <f>'Truck Diversion (No Build)- Dry'!Z54-'Barge (Build) - Dry'!AD65</f>
        <v>41240.663172268447</v>
      </c>
      <c r="AA10" s="16">
        <f>'Truck Diversion (No Build)- Dry'!V54+'Truck Diversion (No Build)- Dry'!X54</f>
        <v>532690.32960000006</v>
      </c>
      <c r="AB10" s="16">
        <f>'Truck Diversion (No Build)- Dry'!S54-'Barge (Build) - Dry'!W65</f>
        <v>497962.3802987563</v>
      </c>
      <c r="AC10" s="138">
        <f>'Barge - Liquid'!$B$67*-0.5</f>
        <v>-38500</v>
      </c>
      <c r="AD10" s="16">
        <f t="shared" si="7"/>
        <v>2992140.5749740861</v>
      </c>
      <c r="AE10" s="8"/>
      <c r="AF10" s="16">
        <v>0</v>
      </c>
      <c r="AH10" s="16">
        <f t="shared" si="2"/>
        <v>4465133.1279087486</v>
      </c>
      <c r="AI10" s="16">
        <f t="shared" si="3"/>
        <v>3544480.2863183683</v>
      </c>
      <c r="AK10" s="61"/>
      <c r="AL10" s="61"/>
      <c r="AM10" s="61"/>
    </row>
    <row r="11" spans="1:57" x14ac:dyDescent="0.25">
      <c r="A11" s="5">
        <f t="shared" si="8"/>
        <v>2034</v>
      </c>
      <c r="B11" s="9"/>
      <c r="C11" s="16">
        <f>'Barge - Liquid'!L84-'Barge - Liquid'!L111</f>
        <v>106691.05194245161</v>
      </c>
      <c r="D11" s="16">
        <f>'Barge - Liquid'!F84-'Barge - Liquid'!F111</f>
        <v>300000</v>
      </c>
      <c r="E11" s="16">
        <f>'Barge - Liquid'!J84-'Barge - Liquid'!J111</f>
        <v>19250</v>
      </c>
      <c r="F11" s="16">
        <f>'Barge - Liquid'!N84</f>
        <v>126398.65940183081</v>
      </c>
      <c r="G11" s="16">
        <f t="shared" si="4"/>
        <v>552339.71134428238</v>
      </c>
      <c r="H11" s="8"/>
      <c r="I11" s="16">
        <f>'Truck Diversion (No Build)- Dry'!F30</f>
        <v>2493444.0960000004</v>
      </c>
      <c r="J11" s="16">
        <f>'Rail Diversion (No Build) - Dry'!G47</f>
        <v>339353.04</v>
      </c>
      <c r="K11" s="16">
        <f>'Barge (Build) - Dry'!F66</f>
        <v>2183471.1169636063</v>
      </c>
      <c r="L11" s="138">
        <f t="shared" si="5"/>
        <v>649326.01903639408</v>
      </c>
      <c r="M11" s="138">
        <f>'Truck Diversion (No Build)- Dry'!H30-'Barge (Build) - Dry'!H66</f>
        <v>1146359.3748666667</v>
      </c>
      <c r="N11" s="138">
        <f>'Truck Diversion (No Build)- Dry'!J30</f>
        <v>94448.640000000014</v>
      </c>
      <c r="O11" s="16">
        <f>('Truck Diversion (No Build)- Dry'!Z30+'Rail Diversion (No Build) - Dry'!AB47)-'Barge (Build) - Dry'!AD66</f>
        <v>41260.706497953419</v>
      </c>
      <c r="P11" s="16">
        <f>'Truck Diversion (No Build)- Dry'!V30+'Truck Diversion (No Build)- Dry'!X30</f>
        <v>487354.98239999998</v>
      </c>
      <c r="Q11" s="16">
        <f>('Truck Diversion (No Build)- Dry'!S30+'Rail Diversion (No Build) - Dry'!R47)-'Barge (Build) - Dry'!W66</f>
        <v>1529237.8791784036</v>
      </c>
      <c r="R11" s="138">
        <f>'Barge - Liquid'!$B$67*-0.5</f>
        <v>-38500</v>
      </c>
      <c r="S11" s="16">
        <f t="shared" si="0"/>
        <v>3909487.6019794177</v>
      </c>
      <c r="U11" s="16">
        <f>'Truck Diversion (No Build)- Dry'!F55</f>
        <v>2725392.3840000005</v>
      </c>
      <c r="V11" s="16">
        <f t="shared" si="1"/>
        <v>2183471.1169636063</v>
      </c>
      <c r="W11" s="138">
        <f t="shared" si="6"/>
        <v>541921.26703639422</v>
      </c>
      <c r="X11" s="138">
        <f>'Truck Diversion (No Build)- Dry'!H55-'Barge (Build) - Dry'!H66</f>
        <v>1313591.3748666667</v>
      </c>
      <c r="Y11" s="138">
        <f>'Truck Diversion (No Build)- Dry'!J55</f>
        <v>103234.56000000001</v>
      </c>
      <c r="Z11" s="16">
        <f>'Truck Diversion (No Build)- Dry'!Z55-'Barge (Build) - Dry'!AD66</f>
        <v>41240.663172268447</v>
      </c>
      <c r="AA11" s="16">
        <f>'Truck Diversion (No Build)- Dry'!V55+'Truck Diversion (No Build)- Dry'!X55</f>
        <v>532690.32960000006</v>
      </c>
      <c r="AB11" s="16">
        <f>'Truck Diversion (No Build)- Dry'!S55-'Barge (Build) - Dry'!W66</f>
        <v>494713.02157840366</v>
      </c>
      <c r="AC11" s="138">
        <f>'Barge - Liquid'!$B$67*-0.5</f>
        <v>-38500</v>
      </c>
      <c r="AD11" s="16">
        <f t="shared" si="7"/>
        <v>2988891.2162537333</v>
      </c>
      <c r="AE11" s="8"/>
      <c r="AF11" s="16">
        <v>0</v>
      </c>
      <c r="AH11" s="16">
        <f t="shared" si="2"/>
        <v>4461827.3133236999</v>
      </c>
      <c r="AI11" s="16">
        <f t="shared" si="3"/>
        <v>3541230.9275980154</v>
      </c>
      <c r="AK11" s="61"/>
      <c r="AL11" s="61"/>
      <c r="AM11" s="61"/>
    </row>
    <row r="12" spans="1:57" x14ac:dyDescent="0.25">
      <c r="A12" s="5">
        <f t="shared" si="8"/>
        <v>2035</v>
      </c>
      <c r="B12" s="9"/>
      <c r="C12" s="16">
        <f>'Barge - Liquid'!L85-'Barge - Liquid'!L112</f>
        <v>106691.05194245161</v>
      </c>
      <c r="D12" s="16">
        <f>'Barge - Liquid'!F85-'Barge - Liquid'!F112</f>
        <v>300000</v>
      </c>
      <c r="E12" s="16">
        <f>'Barge - Liquid'!J85-'Barge - Liquid'!J112</f>
        <v>19250</v>
      </c>
      <c r="F12" s="16">
        <f>'Barge - Liquid'!N85</f>
        <v>126398.65940183081</v>
      </c>
      <c r="G12" s="16">
        <f t="shared" si="4"/>
        <v>552339.71134428238</v>
      </c>
      <c r="H12" s="8"/>
      <c r="I12" s="16">
        <f>'Truck Diversion (No Build)- Dry'!F31</f>
        <v>2493444.0960000004</v>
      </c>
      <c r="J12" s="16">
        <f>'Rail Diversion (No Build) - Dry'!G48</f>
        <v>339353.04</v>
      </c>
      <c r="K12" s="16">
        <f>'Barge (Build) - Dry'!F67</f>
        <v>2183471.1169636063</v>
      </c>
      <c r="L12" s="138">
        <f t="shared" si="5"/>
        <v>649326.01903639408</v>
      </c>
      <c r="M12" s="138">
        <f>'Truck Diversion (No Build)- Dry'!H31-'Barge (Build) - Dry'!H67</f>
        <v>1146359.3748666667</v>
      </c>
      <c r="N12" s="138">
        <f>'Truck Diversion (No Build)- Dry'!J31</f>
        <v>94448.640000000014</v>
      </c>
      <c r="O12" s="16">
        <f>('Truck Diversion (No Build)- Dry'!Z31+'Rail Diversion (No Build) - Dry'!AB48)-'Barge (Build) - Dry'!AD67</f>
        <v>41205.948142282963</v>
      </c>
      <c r="P12" s="16">
        <f>'Truck Diversion (No Build)- Dry'!V31+'Truck Diversion (No Build)- Dry'!X31</f>
        <v>487354.98239999998</v>
      </c>
      <c r="Q12" s="16">
        <f>('Truck Diversion (No Build)- Dry'!S31+'Rail Diversion (No Build) - Dry'!R48)-'Barge (Build) - Dry'!W67</f>
        <v>1526800.8601381392</v>
      </c>
      <c r="R12" s="138">
        <f>'Barge - Liquid'!$B$67*-0.5</f>
        <v>-38500</v>
      </c>
      <c r="S12" s="16">
        <f t="shared" si="0"/>
        <v>3906995.8245834829</v>
      </c>
      <c r="U12" s="16">
        <f>'Truck Diversion (No Build)- Dry'!F56</f>
        <v>2725392.3840000005</v>
      </c>
      <c r="V12" s="16">
        <f t="shared" si="1"/>
        <v>2183471.1169636063</v>
      </c>
      <c r="W12" s="138">
        <f t="shared" si="6"/>
        <v>541921.26703639422</v>
      </c>
      <c r="X12" s="138">
        <f>'Truck Diversion (No Build)- Dry'!H56-'Barge (Build) - Dry'!H67</f>
        <v>1313591.3748666667</v>
      </c>
      <c r="Y12" s="138">
        <f>'Truck Diversion (No Build)- Dry'!J56</f>
        <v>103234.56000000001</v>
      </c>
      <c r="Z12" s="16">
        <f>'Truck Diversion (No Build)- Dry'!Z56-'Barge (Build) - Dry'!AD67</f>
        <v>41240.663172268447</v>
      </c>
      <c r="AA12" s="16">
        <f>'Truck Diversion (No Build)- Dry'!V56+'Truck Diversion (No Build)- Dry'!X56</f>
        <v>532690.32960000006</v>
      </c>
      <c r="AB12" s="16">
        <f>'Truck Diversion (No Build)- Dry'!S56-'Barge (Build) - Dry'!W67</f>
        <v>492276.00253813923</v>
      </c>
      <c r="AC12" s="138">
        <f>'Barge - Liquid'!$B$67*-0.5</f>
        <v>-38500</v>
      </c>
      <c r="AD12" s="16">
        <f t="shared" si="7"/>
        <v>2986454.1972134691</v>
      </c>
      <c r="AE12" s="8"/>
      <c r="AF12" s="16">
        <v>0</v>
      </c>
      <c r="AH12" s="16">
        <f t="shared" si="2"/>
        <v>4459335.5359277651</v>
      </c>
      <c r="AI12" s="16">
        <f t="shared" si="3"/>
        <v>3538793.9085577512</v>
      </c>
      <c r="AK12" s="61"/>
      <c r="AL12" s="61"/>
      <c r="AM12" s="61"/>
    </row>
    <row r="13" spans="1:57" x14ac:dyDescent="0.25">
      <c r="A13" s="5">
        <f t="shared" si="8"/>
        <v>2036</v>
      </c>
      <c r="B13" s="9"/>
      <c r="C13" s="16">
        <f>'Barge - Liquid'!L86-'Barge - Liquid'!L113</f>
        <v>106691.05194245161</v>
      </c>
      <c r="D13" s="16">
        <f>'Barge - Liquid'!F86-'Barge - Liquid'!F113</f>
        <v>300000</v>
      </c>
      <c r="E13" s="16">
        <f>'Barge - Liquid'!J86-'Barge - Liquid'!J113</f>
        <v>19250</v>
      </c>
      <c r="F13" s="16">
        <f>'Barge - Liquid'!N86</f>
        <v>126398.65940183081</v>
      </c>
      <c r="G13" s="16">
        <f t="shared" si="4"/>
        <v>552339.71134428238</v>
      </c>
      <c r="H13" s="8"/>
      <c r="I13" s="16">
        <f>'Truck Diversion (No Build)- Dry'!F32</f>
        <v>2493444.0960000004</v>
      </c>
      <c r="J13" s="16">
        <f>'Rail Diversion (No Build) - Dry'!G49</f>
        <v>339353.04</v>
      </c>
      <c r="K13" s="16">
        <f>'Barge (Build) - Dry'!F68</f>
        <v>2183471.1169636063</v>
      </c>
      <c r="L13" s="138">
        <f t="shared" si="5"/>
        <v>649326.01903639408</v>
      </c>
      <c r="M13" s="138">
        <f>'Truck Diversion (No Build)- Dry'!H32-'Barge (Build) - Dry'!H68</f>
        <v>1146359.3748666667</v>
      </c>
      <c r="N13" s="138">
        <f>'Truck Diversion (No Build)- Dry'!J32</f>
        <v>94448.640000000014</v>
      </c>
      <c r="O13" s="16">
        <f>('Truck Diversion (No Build)- Dry'!Z32+'Rail Diversion (No Build) - Dry'!AB49)-'Barge (Build) - Dry'!AD68</f>
        <v>41152.836255114729</v>
      </c>
      <c r="P13" s="16">
        <f>'Truck Diversion (No Build)- Dry'!V32+'Truck Diversion (No Build)- Dry'!X32</f>
        <v>487354.98239999998</v>
      </c>
      <c r="Q13" s="16">
        <f>('Truck Diversion (No Build)- Dry'!S32+'Rail Diversion (No Build) - Dry'!R49)-'Barge (Build) - Dry'!W68</f>
        <v>1523551.5014177866</v>
      </c>
      <c r="R13" s="138">
        <f>'Barge - Liquid'!$B$67*-0.5</f>
        <v>-38500</v>
      </c>
      <c r="S13" s="16">
        <f t="shared" si="0"/>
        <v>3903693.3539759619</v>
      </c>
      <c r="U13" s="16">
        <f>'Truck Diversion (No Build)- Dry'!F57</f>
        <v>2725392.3840000005</v>
      </c>
      <c r="V13" s="16">
        <f t="shared" si="1"/>
        <v>2183471.1169636063</v>
      </c>
      <c r="W13" s="138">
        <f t="shared" si="6"/>
        <v>541921.26703639422</v>
      </c>
      <c r="X13" s="138">
        <f>'Truck Diversion (No Build)- Dry'!H57-'Barge (Build) - Dry'!H68</f>
        <v>1313591.3748666667</v>
      </c>
      <c r="Y13" s="138">
        <f>'Truck Diversion (No Build)- Dry'!J57</f>
        <v>103234.56000000001</v>
      </c>
      <c r="Z13" s="16">
        <f>'Truck Diversion (No Build)- Dry'!Z57-'Barge (Build) - Dry'!AD68</f>
        <v>41240.663172268447</v>
      </c>
      <c r="AA13" s="16">
        <f>'Truck Diversion (No Build)- Dry'!V57+'Truck Diversion (No Build)- Dry'!X57</f>
        <v>532690.32960000006</v>
      </c>
      <c r="AB13" s="16">
        <f>'Truck Diversion (No Build)- Dry'!S57-'Barge (Build) - Dry'!W68</f>
        <v>489026.64381778665</v>
      </c>
      <c r="AC13" s="138">
        <f>'Barge - Liquid'!$B$67*-0.5</f>
        <v>-38500</v>
      </c>
      <c r="AD13" s="16">
        <f t="shared" si="7"/>
        <v>2983204.8384931162</v>
      </c>
      <c r="AE13" s="8"/>
      <c r="AF13" s="16">
        <v>0</v>
      </c>
      <c r="AH13" s="16">
        <f t="shared" si="2"/>
        <v>4456033.0653202441</v>
      </c>
      <c r="AI13" s="16">
        <f t="shared" si="3"/>
        <v>3535544.5498373983</v>
      </c>
      <c r="AK13" s="61"/>
      <c r="AL13" s="61"/>
      <c r="AM13" s="61"/>
    </row>
    <row r="14" spans="1:57" x14ac:dyDescent="0.25">
      <c r="A14" s="5">
        <f t="shared" si="8"/>
        <v>2037</v>
      </c>
      <c r="B14" s="9"/>
      <c r="C14" s="16">
        <f>'Barge - Liquid'!L87-'Barge - Liquid'!L114</f>
        <v>106691.05194245161</v>
      </c>
      <c r="D14" s="16">
        <f>'Barge - Liquid'!F87-'Barge - Liquid'!F114</f>
        <v>300000</v>
      </c>
      <c r="E14" s="16">
        <f>'Barge - Liquid'!J87-'Barge - Liquid'!J114</f>
        <v>19250</v>
      </c>
      <c r="F14" s="16">
        <f>'Barge - Liquid'!N87</f>
        <v>126398.65940183081</v>
      </c>
      <c r="G14" s="16">
        <f t="shared" si="4"/>
        <v>552339.71134428238</v>
      </c>
      <c r="H14" s="8"/>
      <c r="I14" s="16">
        <f>'Truck Diversion (No Build)- Dry'!F33</f>
        <v>2493444.0960000004</v>
      </c>
      <c r="J14" s="16">
        <f>'Rail Diversion (No Build) - Dry'!G50</f>
        <v>339353.04</v>
      </c>
      <c r="K14" s="16">
        <f>'Barge (Build) - Dry'!F69</f>
        <v>2183471.1169636063</v>
      </c>
      <c r="L14" s="138">
        <f t="shared" si="5"/>
        <v>649326.01903639408</v>
      </c>
      <c r="M14" s="138">
        <f>'Truck Diversion (No Build)- Dry'!H33-'Barge (Build) - Dry'!H69</f>
        <v>1146359.3748666667</v>
      </c>
      <c r="N14" s="138">
        <f>'Truck Diversion (No Build)- Dry'!J33</f>
        <v>94448.640000000014</v>
      </c>
      <c r="O14" s="16">
        <f>('Truck Diversion (No Build)- Dry'!Z33+'Rail Diversion (No Build) - Dry'!AB50)-'Barge (Build) - Dry'!AD69</f>
        <v>41101.321330606261</v>
      </c>
      <c r="P14" s="16">
        <f>'Truck Diversion (No Build)- Dry'!V33+'Truck Diversion (No Build)- Dry'!X33</f>
        <v>487354.98239999998</v>
      </c>
      <c r="Q14" s="16">
        <f>('Truck Diversion (No Build)- Dry'!S33+'Rail Diversion (No Build) - Dry'!R50)-'Barge (Build) - Dry'!W69</f>
        <v>1520302.1426974339</v>
      </c>
      <c r="R14" s="138">
        <f>'Barge - Liquid'!$B$67*-0.5</f>
        <v>-38500</v>
      </c>
      <c r="S14" s="16">
        <f t="shared" si="0"/>
        <v>3900392.480331101</v>
      </c>
      <c r="U14" s="16">
        <f>'Truck Diversion (No Build)- Dry'!F58</f>
        <v>2725392.3840000005</v>
      </c>
      <c r="V14" s="16">
        <f t="shared" si="1"/>
        <v>2183471.1169636063</v>
      </c>
      <c r="W14" s="138">
        <f t="shared" si="6"/>
        <v>541921.26703639422</v>
      </c>
      <c r="X14" s="138">
        <f>'Truck Diversion (No Build)- Dry'!H58-'Barge (Build) - Dry'!H69</f>
        <v>1313591.3748666667</v>
      </c>
      <c r="Y14" s="138">
        <f>'Truck Diversion (No Build)- Dry'!J58</f>
        <v>103234.56000000001</v>
      </c>
      <c r="Z14" s="16">
        <f>'Truck Diversion (No Build)- Dry'!Z58-'Barge (Build) - Dry'!AD69</f>
        <v>41240.663172268447</v>
      </c>
      <c r="AA14" s="16">
        <f>'Truck Diversion (No Build)- Dry'!V58+'Truck Diversion (No Build)- Dry'!X58</f>
        <v>532690.32960000006</v>
      </c>
      <c r="AB14" s="16">
        <f>'Truck Diversion (No Build)- Dry'!S58-'Barge (Build) - Dry'!W69</f>
        <v>485777.28509743407</v>
      </c>
      <c r="AC14" s="138">
        <f>'Barge - Liquid'!$B$67*-0.5</f>
        <v>-38500</v>
      </c>
      <c r="AD14" s="16">
        <f t="shared" si="7"/>
        <v>2979955.4797727638</v>
      </c>
      <c r="AE14" s="8"/>
      <c r="AF14" s="16">
        <v>0</v>
      </c>
      <c r="AH14" s="16">
        <f t="shared" si="2"/>
        <v>4452732.1916753836</v>
      </c>
      <c r="AI14" s="16">
        <f t="shared" si="3"/>
        <v>3532295.1911170464</v>
      </c>
      <c r="AK14" s="61"/>
      <c r="AL14" s="61"/>
      <c r="AM14" s="61"/>
    </row>
    <row r="15" spans="1:57" x14ac:dyDescent="0.25">
      <c r="A15" s="5">
        <f t="shared" si="8"/>
        <v>2038</v>
      </c>
      <c r="B15" s="9"/>
      <c r="C15" s="16">
        <f>'Barge - Liquid'!L88-'Barge - Liquid'!L115</f>
        <v>106691.05194245161</v>
      </c>
      <c r="D15" s="16">
        <f>'Barge - Liquid'!F88-'Barge - Liquid'!F115</f>
        <v>300000</v>
      </c>
      <c r="E15" s="16">
        <f>'Barge - Liquid'!J88-'Barge - Liquid'!J115</f>
        <v>19250</v>
      </c>
      <c r="F15" s="16">
        <f>'Barge - Liquid'!N88</f>
        <v>126398.65940183081</v>
      </c>
      <c r="G15" s="16">
        <f t="shared" si="4"/>
        <v>552339.71134428238</v>
      </c>
      <c r="H15" s="8"/>
      <c r="I15" s="16">
        <f>'Truck Diversion (No Build)- Dry'!F34</f>
        <v>2493444.0960000004</v>
      </c>
      <c r="J15" s="16">
        <f>'Rail Diversion (No Build) - Dry'!G51</f>
        <v>339353.04</v>
      </c>
      <c r="K15" s="16">
        <f>'Barge (Build) - Dry'!F70</f>
        <v>2183471.1169636063</v>
      </c>
      <c r="L15" s="138">
        <f t="shared" si="5"/>
        <v>649326.01903639408</v>
      </c>
      <c r="M15" s="138">
        <f>'Truck Diversion (No Build)- Dry'!H34-'Barge (Build) - Dry'!H70</f>
        <v>1146359.3748666667</v>
      </c>
      <c r="N15" s="138">
        <f>'Truck Diversion (No Build)- Dry'!J34</f>
        <v>94448.640000000014</v>
      </c>
      <c r="O15" s="16">
        <f>('Truck Diversion (No Build)- Dry'!Z34+'Rail Diversion (No Build) - Dry'!AB51)-'Barge (Build) - Dry'!AD70</f>
        <v>41051.355351451581</v>
      </c>
      <c r="P15" s="16">
        <f>'Truck Diversion (No Build)- Dry'!V34+'Truck Diversion (No Build)- Dry'!X34</f>
        <v>487354.98239999998</v>
      </c>
      <c r="Q15" s="16">
        <f>('Truck Diversion (No Build)- Dry'!S34+'Rail Diversion (No Build) - Dry'!R51)-'Barge (Build) - Dry'!W70</f>
        <v>1517865.1236571695</v>
      </c>
      <c r="R15" s="138">
        <f>'Barge - Liquid'!$B$67*-0.5</f>
        <v>-38500</v>
      </c>
      <c r="S15" s="16">
        <f t="shared" si="0"/>
        <v>3897905.4953116821</v>
      </c>
      <c r="U15" s="16">
        <f>'Truck Diversion (No Build)- Dry'!F59</f>
        <v>2725392.3840000005</v>
      </c>
      <c r="V15" s="16">
        <f t="shared" si="1"/>
        <v>2183471.1169636063</v>
      </c>
      <c r="W15" s="138">
        <f t="shared" si="6"/>
        <v>541921.26703639422</v>
      </c>
      <c r="X15" s="138">
        <f>'Truck Diversion (No Build)- Dry'!H59-'Barge (Build) - Dry'!H70</f>
        <v>1313591.3748666667</v>
      </c>
      <c r="Y15" s="138">
        <f>'Truck Diversion (No Build)- Dry'!J59</f>
        <v>103234.56000000001</v>
      </c>
      <c r="Z15" s="16">
        <f>'Truck Diversion (No Build)- Dry'!Z59-'Barge (Build) - Dry'!AD70</f>
        <v>41240.663172268447</v>
      </c>
      <c r="AA15" s="16">
        <f>'Truck Diversion (No Build)- Dry'!V59+'Truck Diversion (No Build)- Dry'!X59</f>
        <v>532690.32960000006</v>
      </c>
      <c r="AB15" s="16">
        <f>'Truck Diversion (No Build)- Dry'!S59-'Barge (Build) - Dry'!W70</f>
        <v>483340.26605716965</v>
      </c>
      <c r="AC15" s="138">
        <f>'Barge - Liquid'!$B$67*-0.5</f>
        <v>-38500</v>
      </c>
      <c r="AD15" s="16">
        <f t="shared" si="7"/>
        <v>2977518.4607324991</v>
      </c>
      <c r="AE15" s="8"/>
      <c r="AF15" s="16">
        <v>0</v>
      </c>
      <c r="AH15" s="16">
        <f t="shared" si="2"/>
        <v>4450245.2066559643</v>
      </c>
      <c r="AI15" s="16">
        <f t="shared" si="3"/>
        <v>3529858.1720767813</v>
      </c>
      <c r="AK15" s="61"/>
      <c r="AL15" s="61"/>
      <c r="AM15" s="61"/>
    </row>
    <row r="16" spans="1:57" x14ac:dyDescent="0.25">
      <c r="A16" s="5">
        <f t="shared" si="8"/>
        <v>2039</v>
      </c>
      <c r="B16" s="9"/>
      <c r="C16" s="16">
        <f>'Barge - Liquid'!L89-'Barge - Liquid'!L116</f>
        <v>106691.05194245161</v>
      </c>
      <c r="D16" s="16">
        <f>'Barge - Liquid'!F89-'Barge - Liquid'!F116</f>
        <v>300000</v>
      </c>
      <c r="E16" s="16">
        <f>'Barge - Liquid'!J89-'Barge - Liquid'!J116</f>
        <v>19250</v>
      </c>
      <c r="F16" s="16">
        <f>'Barge - Liquid'!N89</f>
        <v>126398.65940183081</v>
      </c>
      <c r="G16" s="16">
        <f t="shared" si="4"/>
        <v>552339.71134428238</v>
      </c>
      <c r="H16" s="8"/>
      <c r="I16" s="16">
        <f>'Truck Diversion (No Build)- Dry'!F35</f>
        <v>2493444.0960000004</v>
      </c>
      <c r="J16" s="16">
        <f>'Rail Diversion (No Build) - Dry'!G52</f>
        <v>339353.04</v>
      </c>
      <c r="K16" s="16">
        <f>'Barge (Build) - Dry'!F71</f>
        <v>2183471.1169636063</v>
      </c>
      <c r="L16" s="138">
        <f t="shared" si="5"/>
        <v>649326.01903639408</v>
      </c>
      <c r="M16" s="138">
        <f>'Truck Diversion (No Build)- Dry'!H35-'Barge (Build) - Dry'!H71</f>
        <v>1146359.3748666667</v>
      </c>
      <c r="N16" s="138">
        <f>'Truck Diversion (No Build)- Dry'!J35</f>
        <v>94448.640000000014</v>
      </c>
      <c r="O16" s="16">
        <f>('Truck Diversion (No Build)- Dry'!Z35+'Rail Diversion (No Build) - Dry'!AB52)-'Barge (Build) - Dry'!AD71</f>
        <v>41002.891744124056</v>
      </c>
      <c r="P16" s="16">
        <f>'Truck Diversion (No Build)- Dry'!V35+'Truck Diversion (No Build)- Dry'!X35</f>
        <v>487354.98239999998</v>
      </c>
      <c r="Q16" s="16">
        <f>('Truck Diversion (No Build)- Dry'!S35+'Rail Diversion (No Build) - Dry'!R52)-'Barge (Build) - Dry'!W71</f>
        <v>1514615.7649368169</v>
      </c>
      <c r="R16" s="138">
        <f>'Barge - Liquid'!$B$67*-0.5</f>
        <v>-38500</v>
      </c>
      <c r="S16" s="16">
        <f t="shared" si="0"/>
        <v>3894607.6729840017</v>
      </c>
      <c r="U16" s="16">
        <f>'Truck Diversion (No Build)- Dry'!F60</f>
        <v>2725392.3840000005</v>
      </c>
      <c r="V16" s="16">
        <f t="shared" si="1"/>
        <v>2183471.1169636063</v>
      </c>
      <c r="W16" s="138">
        <f t="shared" si="6"/>
        <v>541921.26703639422</v>
      </c>
      <c r="X16" s="138">
        <f>'Truck Diversion (No Build)- Dry'!H60-'Barge (Build) - Dry'!H71</f>
        <v>1313591.3748666667</v>
      </c>
      <c r="Y16" s="138">
        <f>'Truck Diversion (No Build)- Dry'!J60</f>
        <v>103234.56000000001</v>
      </c>
      <c r="Z16" s="16">
        <f>'Truck Diversion (No Build)- Dry'!Z60-'Barge (Build) - Dry'!AD71</f>
        <v>41240.663172268447</v>
      </c>
      <c r="AA16" s="16">
        <f>'Truck Diversion (No Build)- Dry'!V60+'Truck Diversion (No Build)- Dry'!X60</f>
        <v>532690.32960000006</v>
      </c>
      <c r="AB16" s="16">
        <f>'Truck Diversion (No Build)- Dry'!S60-'Barge (Build) - Dry'!W71</f>
        <v>480090.90733681701</v>
      </c>
      <c r="AC16" s="138">
        <f>'Barge - Liquid'!$B$67*-0.5</f>
        <v>-38500</v>
      </c>
      <c r="AD16" s="16">
        <f t="shared" si="7"/>
        <v>2974269.1020121467</v>
      </c>
      <c r="AE16" s="8"/>
      <c r="AF16" s="16">
        <v>0</v>
      </c>
      <c r="AH16" s="16">
        <f t="shared" si="2"/>
        <v>4446947.3843282843</v>
      </c>
      <c r="AI16" s="16">
        <f t="shared" si="3"/>
        <v>3526608.8133564293</v>
      </c>
      <c r="AK16" s="61"/>
      <c r="AL16" s="61"/>
      <c r="AM16" s="61"/>
    </row>
    <row r="17" spans="1:44" x14ac:dyDescent="0.25">
      <c r="A17" s="5">
        <f t="shared" si="8"/>
        <v>2040</v>
      </c>
      <c r="B17" s="9"/>
      <c r="C17" s="16">
        <f>'Barge - Liquid'!L90-'Barge - Liquid'!L117</f>
        <v>106691.05194245161</v>
      </c>
      <c r="D17" s="16">
        <f>'Barge - Liquid'!F90-'Barge - Liquid'!F117</f>
        <v>300000</v>
      </c>
      <c r="E17" s="16">
        <f>'Barge - Liquid'!J90-'Barge - Liquid'!J117</f>
        <v>19250</v>
      </c>
      <c r="F17" s="16">
        <f>'Barge - Liquid'!N90</f>
        <v>126398.65940183081</v>
      </c>
      <c r="G17" s="16">
        <f t="shared" si="4"/>
        <v>552339.71134428238</v>
      </c>
      <c r="H17" s="8"/>
      <c r="I17" s="16">
        <f>'Truck Diversion (No Build)- Dry'!F36</f>
        <v>2493444.0960000004</v>
      </c>
      <c r="J17" s="16">
        <f>'Rail Diversion (No Build) - Dry'!G53</f>
        <v>339353.04</v>
      </c>
      <c r="K17" s="16">
        <f>'Barge (Build) - Dry'!F72</f>
        <v>2183471.1169636063</v>
      </c>
      <c r="L17" s="138">
        <f t="shared" si="5"/>
        <v>649326.01903639408</v>
      </c>
      <c r="M17" s="138">
        <f>'Truck Diversion (No Build)- Dry'!H36-'Barge (Build) - Dry'!H72</f>
        <v>1146359.3748666667</v>
      </c>
      <c r="N17" s="138">
        <f>'Truck Diversion (No Build)- Dry'!J36</f>
        <v>94448.640000000014</v>
      </c>
      <c r="O17" s="16">
        <f>('Truck Diversion (No Build)- Dry'!Z36+'Rail Diversion (No Build) - Dry'!AB53)-'Barge (Build) - Dry'!AD72</f>
        <v>40955.885335464962</v>
      </c>
      <c r="P17" s="16">
        <f>'Truck Diversion (No Build)- Dry'!V36+'Truck Diversion (No Build)- Dry'!X36</f>
        <v>487354.98239999998</v>
      </c>
      <c r="Q17" s="16">
        <f>('Truck Diversion (No Build)- Dry'!S36+'Rail Diversion (No Build) - Dry'!R53)-'Barge (Build) - Dry'!W72</f>
        <v>1511366.4062164642</v>
      </c>
      <c r="R17" s="138">
        <f>'Barge - Liquid'!$B$67*-0.5</f>
        <v>-38500</v>
      </c>
      <c r="S17" s="16">
        <f t="shared" si="0"/>
        <v>3891311.3078549905</v>
      </c>
      <c r="U17" s="16">
        <f>'Truck Diversion (No Build)- Dry'!F61</f>
        <v>2725392.3840000005</v>
      </c>
      <c r="V17" s="16">
        <f t="shared" si="1"/>
        <v>2183471.1169636063</v>
      </c>
      <c r="W17" s="138">
        <f t="shared" si="6"/>
        <v>541921.26703639422</v>
      </c>
      <c r="X17" s="138">
        <f>'Truck Diversion (No Build)- Dry'!H61-'Barge (Build) - Dry'!H72</f>
        <v>1313591.3748666667</v>
      </c>
      <c r="Y17" s="138">
        <f>'Truck Diversion (No Build)- Dry'!J61</f>
        <v>103234.56000000001</v>
      </c>
      <c r="Z17" s="16">
        <f>'Truck Diversion (No Build)- Dry'!Z61-'Barge (Build) - Dry'!AD72</f>
        <v>41240.663172268447</v>
      </c>
      <c r="AA17" s="16">
        <f>'Truck Diversion (No Build)- Dry'!V61+'Truck Diversion (No Build)- Dry'!X61</f>
        <v>532690.32960000006</v>
      </c>
      <c r="AB17" s="16">
        <f>'Truck Diversion (No Build)- Dry'!S61-'Barge (Build) - Dry'!W72</f>
        <v>476841.54861646437</v>
      </c>
      <c r="AC17" s="138">
        <f>'Barge - Liquid'!$B$67*-0.5</f>
        <v>-38500</v>
      </c>
      <c r="AD17" s="16">
        <f t="shared" si="7"/>
        <v>2971019.7432917939</v>
      </c>
      <c r="AE17" s="8"/>
      <c r="AF17" s="16">
        <v>0</v>
      </c>
      <c r="AH17" s="16">
        <f t="shared" si="2"/>
        <v>4443651.0191992726</v>
      </c>
      <c r="AI17" s="16">
        <f t="shared" si="3"/>
        <v>3523359.4546360765</v>
      </c>
      <c r="AK17" s="61"/>
      <c r="AL17" s="61"/>
      <c r="AM17" s="61"/>
    </row>
    <row r="18" spans="1:44" x14ac:dyDescent="0.25">
      <c r="A18" s="5">
        <f t="shared" si="8"/>
        <v>2041</v>
      </c>
      <c r="B18" s="9"/>
      <c r="C18" s="16">
        <f>'Barge - Liquid'!L91-'Barge - Liquid'!L118</f>
        <v>106691.05194245161</v>
      </c>
      <c r="D18" s="16">
        <f>'Barge - Liquid'!F91-'Barge - Liquid'!F118</f>
        <v>300000</v>
      </c>
      <c r="E18" s="16">
        <f>'Barge - Liquid'!J91-'Barge - Liquid'!J118</f>
        <v>19250</v>
      </c>
      <c r="F18" s="16">
        <f>'Barge - Liquid'!N91</f>
        <v>126398.65940183081</v>
      </c>
      <c r="G18" s="16">
        <f t="shared" si="4"/>
        <v>552339.71134428238</v>
      </c>
      <c r="H18" s="8"/>
      <c r="I18" s="16">
        <f>'Truck Diversion (No Build)- Dry'!F37</f>
        <v>2493444.0960000004</v>
      </c>
      <c r="J18" s="16">
        <f>'Rail Diversion (No Build) - Dry'!G54</f>
        <v>339353.04</v>
      </c>
      <c r="K18" s="16">
        <f>'Barge (Build) - Dry'!F73</f>
        <v>2183471.1169636063</v>
      </c>
      <c r="L18" s="138">
        <f t="shared" si="5"/>
        <v>649326.01903639408</v>
      </c>
      <c r="M18" s="138">
        <f>'Truck Diversion (No Build)- Dry'!H37-'Barge (Build) - Dry'!H73</f>
        <v>1146359.3748666667</v>
      </c>
      <c r="N18" s="138">
        <f>'Truck Diversion (No Build)- Dry'!J37</f>
        <v>94448.640000000014</v>
      </c>
      <c r="O18" s="16">
        <f>('Truck Diversion (No Build)- Dry'!Z37+'Rail Diversion (No Build) - Dry'!AB54)-'Barge (Build) - Dry'!AD73</f>
        <v>40910.292310577388</v>
      </c>
      <c r="P18" s="16">
        <f>'Truck Diversion (No Build)- Dry'!V37+'Truck Diversion (No Build)- Dry'!X37</f>
        <v>487354.98239999998</v>
      </c>
      <c r="Q18" s="16">
        <f>('Truck Diversion (No Build)- Dry'!S37+'Rail Diversion (No Build) - Dry'!R54)-'Barge (Build) - Dry'!W73</f>
        <v>1508117.0474961116</v>
      </c>
      <c r="R18" s="138">
        <f>'Barge - Liquid'!$B$67*-0.5</f>
        <v>-38500</v>
      </c>
      <c r="S18" s="16">
        <f t="shared" si="0"/>
        <v>3888016.35610975</v>
      </c>
      <c r="U18" s="16">
        <f>'Truck Diversion (No Build)- Dry'!F62</f>
        <v>2725392.3840000005</v>
      </c>
      <c r="V18" s="16">
        <f t="shared" si="1"/>
        <v>2183471.1169636063</v>
      </c>
      <c r="W18" s="138">
        <f t="shared" si="6"/>
        <v>541921.26703639422</v>
      </c>
      <c r="X18" s="138">
        <f>'Truck Diversion (No Build)- Dry'!H62-'Barge (Build) - Dry'!H73</f>
        <v>1313591.3748666667</v>
      </c>
      <c r="Y18" s="138">
        <f>'Truck Diversion (No Build)- Dry'!J62</f>
        <v>103234.56000000001</v>
      </c>
      <c r="Z18" s="16">
        <f>'Truck Diversion (No Build)- Dry'!Z62-'Barge (Build) - Dry'!AD73</f>
        <v>41240.663172268447</v>
      </c>
      <c r="AA18" s="16">
        <f>'Truck Diversion (No Build)- Dry'!V62+'Truck Diversion (No Build)- Dry'!X62</f>
        <v>532690.32960000006</v>
      </c>
      <c r="AB18" s="16">
        <f>'Truck Diversion (No Build)- Dry'!S62-'Barge (Build) - Dry'!W73</f>
        <v>473592.18989611184</v>
      </c>
      <c r="AC18" s="138">
        <f>'Barge - Liquid'!$B$67*-0.5</f>
        <v>-38500</v>
      </c>
      <c r="AD18" s="16">
        <f t="shared" si="7"/>
        <v>2967770.3845714414</v>
      </c>
      <c r="AE18" s="8"/>
      <c r="AF18" s="16">
        <v>0</v>
      </c>
      <c r="AH18" s="16">
        <f t="shared" si="2"/>
        <v>4440356.0674540326</v>
      </c>
      <c r="AI18" s="16">
        <f t="shared" si="3"/>
        <v>3520110.0959157236</v>
      </c>
      <c r="AK18" s="61"/>
      <c r="AL18" s="61"/>
      <c r="AM18" s="61"/>
    </row>
    <row r="19" spans="1:44" x14ac:dyDescent="0.25">
      <c r="A19" s="5">
        <f t="shared" si="8"/>
        <v>2042</v>
      </c>
      <c r="B19" s="9"/>
      <c r="C19" s="16">
        <f>'Barge - Liquid'!L92-'Barge - Liquid'!L119</f>
        <v>106691.05194245161</v>
      </c>
      <c r="D19" s="16">
        <f>'Barge - Liquid'!F92-'Barge - Liquid'!F119</f>
        <v>300000</v>
      </c>
      <c r="E19" s="16">
        <f>'Barge - Liquid'!J92-'Barge - Liquid'!J119</f>
        <v>19250</v>
      </c>
      <c r="F19" s="16">
        <f>'Barge - Liquid'!N92</f>
        <v>126398.65940183081</v>
      </c>
      <c r="G19" s="16">
        <f t="shared" si="4"/>
        <v>552339.71134428238</v>
      </c>
      <c r="H19" s="8"/>
      <c r="I19" s="16">
        <f>'Truck Diversion (No Build)- Dry'!F38</f>
        <v>2493444.0960000004</v>
      </c>
      <c r="J19" s="16">
        <f>'Rail Diversion (No Build) - Dry'!G55</f>
        <v>339353.04</v>
      </c>
      <c r="K19" s="16">
        <f>'Barge (Build) - Dry'!F74</f>
        <v>2183471.1169636063</v>
      </c>
      <c r="L19" s="138">
        <f t="shared" si="5"/>
        <v>649326.01903639408</v>
      </c>
      <c r="M19" s="138">
        <f>'Truck Diversion (No Build)- Dry'!H38-'Barge (Build) - Dry'!H74</f>
        <v>1146359.3748666667</v>
      </c>
      <c r="N19" s="138">
        <f>'Truck Diversion (No Build)- Dry'!J38</f>
        <v>94448.640000000014</v>
      </c>
      <c r="O19" s="16">
        <f>('Truck Diversion (No Build)- Dry'!Z38+'Rail Diversion (No Build) - Dry'!AB55)-'Barge (Build) - Dry'!AD74</f>
        <v>40866.070171986139</v>
      </c>
      <c r="P19" s="16">
        <f>'Truck Diversion (No Build)- Dry'!V38+'Truck Diversion (No Build)- Dry'!X38</f>
        <v>487354.98239999998</v>
      </c>
      <c r="Q19" s="16">
        <f>('Truck Diversion (No Build)- Dry'!S38+'Rail Diversion (No Build) - Dry'!R55)-'Barge (Build) - Dry'!W74</f>
        <v>1504867.6887757592</v>
      </c>
      <c r="R19" s="138">
        <f>'Barge - Liquid'!$B$67*-0.5</f>
        <v>-38500</v>
      </c>
      <c r="S19" s="16">
        <f t="shared" si="0"/>
        <v>3884722.7752508065</v>
      </c>
      <c r="U19" s="16">
        <f>'Truck Diversion (No Build)- Dry'!F63</f>
        <v>2725392.3840000005</v>
      </c>
      <c r="V19" s="16">
        <f t="shared" si="1"/>
        <v>2183471.1169636063</v>
      </c>
      <c r="W19" s="138">
        <f t="shared" si="6"/>
        <v>541921.26703639422</v>
      </c>
      <c r="X19" s="138">
        <f>'Truck Diversion (No Build)- Dry'!H63-'Barge (Build) - Dry'!H74</f>
        <v>1313591.3748666667</v>
      </c>
      <c r="Y19" s="138">
        <f>'Truck Diversion (No Build)- Dry'!J63</f>
        <v>103234.56000000001</v>
      </c>
      <c r="Z19" s="16">
        <f>'Truck Diversion (No Build)- Dry'!Z63-'Barge (Build) - Dry'!AD74</f>
        <v>41240.663172268447</v>
      </c>
      <c r="AA19" s="16">
        <f>'Truck Diversion (No Build)- Dry'!V63+'Truck Diversion (No Build)- Dry'!X63</f>
        <v>532690.32960000006</v>
      </c>
      <c r="AB19" s="16">
        <f>'Truck Diversion (No Build)- Dry'!S63-'Barge (Build) - Dry'!W74</f>
        <v>470342.8311757592</v>
      </c>
      <c r="AC19" s="138">
        <f>'Barge - Liquid'!$B$67*-0.5</f>
        <v>-38500</v>
      </c>
      <c r="AD19" s="16">
        <f t="shared" si="7"/>
        <v>2964521.0258510886</v>
      </c>
      <c r="AE19" s="8"/>
      <c r="AF19" s="16">
        <v>0</v>
      </c>
      <c r="AH19" s="16">
        <f t="shared" si="2"/>
        <v>4437062.4865950886</v>
      </c>
      <c r="AI19" s="16">
        <f t="shared" si="3"/>
        <v>3516860.7371953707</v>
      </c>
      <c r="AK19" s="61"/>
      <c r="AL19" s="61"/>
      <c r="AM19" s="61"/>
    </row>
    <row r="20" spans="1:44" x14ac:dyDescent="0.25">
      <c r="A20" s="5">
        <f t="shared" si="8"/>
        <v>2043</v>
      </c>
      <c r="B20" s="9"/>
      <c r="C20" s="16">
        <f>'Barge - Liquid'!L93-'Barge - Liquid'!L120</f>
        <v>106691.05194245161</v>
      </c>
      <c r="D20" s="16">
        <f>'Barge - Liquid'!F93-'Barge - Liquid'!F120</f>
        <v>300000</v>
      </c>
      <c r="E20" s="16">
        <f>'Barge - Liquid'!J93-'Barge - Liquid'!J120</f>
        <v>19250</v>
      </c>
      <c r="F20" s="16">
        <f>'Barge - Liquid'!N93</f>
        <v>126398.65940183081</v>
      </c>
      <c r="G20" s="16">
        <f t="shared" si="4"/>
        <v>552339.71134428238</v>
      </c>
      <c r="H20" s="8"/>
      <c r="I20" s="16">
        <f>'Truck Diversion (No Build)- Dry'!F39</f>
        <v>2493444.0960000004</v>
      </c>
      <c r="J20" s="16">
        <f>'Rail Diversion (No Build) - Dry'!G56</f>
        <v>339353.04</v>
      </c>
      <c r="K20" s="16">
        <f>'Barge (Build) - Dry'!F75</f>
        <v>2183471.1169636063</v>
      </c>
      <c r="L20" s="138">
        <f t="shared" si="5"/>
        <v>649326.01903639408</v>
      </c>
      <c r="M20" s="138">
        <f>'Truck Diversion (No Build)- Dry'!H39-'Barge (Build) - Dry'!H75</f>
        <v>1146359.3748666667</v>
      </c>
      <c r="N20" s="138">
        <f>'Truck Diversion (No Build)- Dry'!J39</f>
        <v>94448.640000000014</v>
      </c>
      <c r="O20" s="16">
        <f>('Truck Diversion (No Build)- Dry'!Z39+'Rail Diversion (No Build) - Dry'!AB56)-'Barge (Build) - Dry'!AD75</f>
        <v>40823.177700025662</v>
      </c>
      <c r="P20" s="16">
        <f>'Truck Diversion (No Build)- Dry'!V39+'Truck Diversion (No Build)- Dry'!X39</f>
        <v>487354.98239999998</v>
      </c>
      <c r="Q20" s="16">
        <f>('Truck Diversion (No Build)- Dry'!S39+'Rail Diversion (No Build) - Dry'!R56)-'Barge (Build) - Dry'!W75</f>
        <v>1501618.3300554065</v>
      </c>
      <c r="R20" s="138">
        <f>'Barge - Liquid'!$B$67*-0.5</f>
        <v>-38500</v>
      </c>
      <c r="S20" s="16">
        <f t="shared" si="0"/>
        <v>3881430.5240584929</v>
      </c>
      <c r="U20" s="16">
        <f>'Truck Diversion (No Build)- Dry'!F64</f>
        <v>2725392.3840000005</v>
      </c>
      <c r="V20" s="16">
        <f t="shared" si="1"/>
        <v>2183471.1169636063</v>
      </c>
      <c r="W20" s="138">
        <f t="shared" si="6"/>
        <v>541921.26703639422</v>
      </c>
      <c r="X20" s="138">
        <f>'Truck Diversion (No Build)- Dry'!H64-'Barge (Build) - Dry'!H75</f>
        <v>1313591.3748666667</v>
      </c>
      <c r="Y20" s="138">
        <f>'Truck Diversion (No Build)- Dry'!J64</f>
        <v>103234.56000000001</v>
      </c>
      <c r="Z20" s="16">
        <f>'Truck Diversion (No Build)- Dry'!Z64-'Barge (Build) - Dry'!AD75</f>
        <v>41240.663172268447</v>
      </c>
      <c r="AA20" s="16">
        <f>'Truck Diversion (No Build)- Dry'!V64+'Truck Diversion (No Build)- Dry'!X64</f>
        <v>532690.32960000006</v>
      </c>
      <c r="AB20" s="16">
        <f>'Truck Diversion (No Build)- Dry'!S64-'Barge (Build) - Dry'!W75</f>
        <v>467093.47245540662</v>
      </c>
      <c r="AC20" s="138">
        <f>'Barge - Liquid'!$B$67*-0.5</f>
        <v>-38500</v>
      </c>
      <c r="AD20" s="16">
        <f t="shared" si="7"/>
        <v>2961271.6671307362</v>
      </c>
      <c r="AE20" s="8"/>
      <c r="AF20" s="16">
        <v>0</v>
      </c>
      <c r="AH20" s="16">
        <f t="shared" si="2"/>
        <v>4433770.235402775</v>
      </c>
      <c r="AI20" s="16">
        <f t="shared" si="3"/>
        <v>3513611.3784750188</v>
      </c>
      <c r="AK20" s="61"/>
      <c r="AL20" s="61"/>
      <c r="AM20" s="61"/>
    </row>
    <row r="21" spans="1:44" x14ac:dyDescent="0.25">
      <c r="A21" s="5">
        <f t="shared" si="8"/>
        <v>2044</v>
      </c>
      <c r="B21" s="9"/>
      <c r="C21" s="16">
        <f>'Barge - Liquid'!L94-'Barge - Liquid'!L121</f>
        <v>106691.05194245161</v>
      </c>
      <c r="D21" s="16">
        <f>'Barge - Liquid'!F94-'Barge - Liquid'!F121</f>
        <v>300000</v>
      </c>
      <c r="E21" s="16">
        <f>'Barge - Liquid'!J94-'Barge - Liquid'!J121</f>
        <v>19250</v>
      </c>
      <c r="F21" s="16">
        <f>'Barge - Liquid'!N94</f>
        <v>126398.65940183081</v>
      </c>
      <c r="G21" s="16">
        <f t="shared" si="4"/>
        <v>552339.71134428238</v>
      </c>
      <c r="H21" s="8"/>
      <c r="I21" s="16">
        <f>'Truck Diversion (No Build)- Dry'!F40</f>
        <v>2493444.0960000004</v>
      </c>
      <c r="J21" s="16">
        <f>'Rail Diversion (No Build) - Dry'!G57</f>
        <v>339353.04</v>
      </c>
      <c r="K21" s="16">
        <f>'Barge (Build) - Dry'!F76</f>
        <v>2183471.1169636063</v>
      </c>
      <c r="L21" s="138">
        <f t="shared" si="5"/>
        <v>649326.01903639408</v>
      </c>
      <c r="M21" s="138">
        <f>'Truck Diversion (No Build)- Dry'!H40-'Barge (Build) - Dry'!H76</f>
        <v>1146359.3748666667</v>
      </c>
      <c r="N21" s="138">
        <f>'Truck Diversion (No Build)- Dry'!J40</f>
        <v>94448.640000000014</v>
      </c>
      <c r="O21" s="16">
        <f>('Truck Diversion (No Build)- Dry'!Z40+'Rail Diversion (No Build) - Dry'!AB57)-'Barge (Build) - Dry'!AD76</f>
        <v>40781.574914418998</v>
      </c>
      <c r="P21" s="16">
        <f>'Truck Diversion (No Build)- Dry'!V40+'Truck Diversion (No Build)- Dry'!X40</f>
        <v>487354.98239999998</v>
      </c>
      <c r="Q21" s="16">
        <f>('Truck Diversion (No Build)- Dry'!S40+'Rail Diversion (No Build) - Dry'!R57)-'Barge (Build) - Dry'!W76</f>
        <v>1498368.9713350539</v>
      </c>
      <c r="R21" s="138">
        <f>'Barge - Liquid'!$B$67*-0.5</f>
        <v>-38500</v>
      </c>
      <c r="S21" s="16">
        <f t="shared" si="0"/>
        <v>3878139.562552534</v>
      </c>
      <c r="U21" s="16">
        <f>'Truck Diversion (No Build)- Dry'!F65</f>
        <v>2725392.3840000005</v>
      </c>
      <c r="V21" s="16">
        <f t="shared" si="1"/>
        <v>2183471.1169636063</v>
      </c>
      <c r="W21" s="138">
        <f t="shared" si="6"/>
        <v>541921.26703639422</v>
      </c>
      <c r="X21" s="138">
        <f>'Truck Diversion (No Build)- Dry'!H65-'Barge (Build) - Dry'!H76</f>
        <v>1313591.3748666667</v>
      </c>
      <c r="Y21" s="138">
        <f>'Truck Diversion (No Build)- Dry'!J65</f>
        <v>103234.56000000001</v>
      </c>
      <c r="Z21" s="16">
        <f>'Truck Diversion (No Build)- Dry'!Z65-'Barge (Build) - Dry'!AD76</f>
        <v>41240.663172268447</v>
      </c>
      <c r="AA21" s="16">
        <f>'Truck Diversion (No Build)- Dry'!V65+'Truck Diversion (No Build)- Dry'!X65</f>
        <v>532690.32960000006</v>
      </c>
      <c r="AB21" s="16">
        <f>'Truck Diversion (No Build)- Dry'!S65-'Barge (Build) - Dry'!W76</f>
        <v>463844.11373505404</v>
      </c>
      <c r="AC21" s="138">
        <f>'Barge - Liquid'!$B$67*-0.5</f>
        <v>-38500</v>
      </c>
      <c r="AD21" s="16">
        <f t="shared" si="7"/>
        <v>2958022.3084103838</v>
      </c>
      <c r="AE21" s="8"/>
      <c r="AF21" s="16">
        <v>0</v>
      </c>
      <c r="AH21" s="16">
        <f t="shared" si="2"/>
        <v>4430479.2738968162</v>
      </c>
      <c r="AI21" s="16">
        <f t="shared" si="3"/>
        <v>3510362.0197546659</v>
      </c>
      <c r="AK21" s="61"/>
      <c r="AL21" s="61"/>
      <c r="AM21" s="61"/>
    </row>
    <row r="22" spans="1:44" x14ac:dyDescent="0.25">
      <c r="A22" s="5">
        <f t="shared" si="8"/>
        <v>2045</v>
      </c>
      <c r="B22" s="9"/>
      <c r="C22" s="16">
        <f>'Barge - Liquid'!L95-'Barge - Liquid'!L122</f>
        <v>106691.05194245161</v>
      </c>
      <c r="D22" s="16">
        <f>'Barge - Liquid'!F95-'Barge - Liquid'!F122</f>
        <v>300000</v>
      </c>
      <c r="E22" s="16">
        <f>'Barge - Liquid'!J95-'Barge - Liquid'!J122</f>
        <v>19250</v>
      </c>
      <c r="F22" s="16">
        <f>'Barge - Liquid'!N95</f>
        <v>126398.65940183081</v>
      </c>
      <c r="G22" s="16">
        <f t="shared" si="4"/>
        <v>552339.71134428238</v>
      </c>
      <c r="H22" s="8"/>
      <c r="I22" s="16">
        <f>'Truck Diversion (No Build)- Dry'!F41</f>
        <v>2493444.0960000004</v>
      </c>
      <c r="J22" s="16">
        <f>'Rail Diversion (No Build) - Dry'!G58</f>
        <v>339353.04</v>
      </c>
      <c r="K22" s="16">
        <f>'Barge (Build) - Dry'!F77</f>
        <v>2183471.1169636063</v>
      </c>
      <c r="L22" s="138">
        <f t="shared" si="5"/>
        <v>649326.01903639408</v>
      </c>
      <c r="M22" s="138">
        <f>'Truck Diversion (No Build)- Dry'!H41-'Barge (Build) - Dry'!H77</f>
        <v>1146359.3748666667</v>
      </c>
      <c r="N22" s="138">
        <f>'Truck Diversion (No Build)- Dry'!J41</f>
        <v>94448.640000000014</v>
      </c>
      <c r="O22" s="16">
        <f>('Truck Diversion (No Build)- Dry'!Z41+'Rail Diversion (No Build) - Dry'!AB58)-'Barge (Build) - Dry'!AD77</f>
        <v>40741.223037011951</v>
      </c>
      <c r="P22" s="16">
        <f>'Truck Diversion (No Build)- Dry'!V41+'Truck Diversion (No Build)- Dry'!X41</f>
        <v>487354.98239999998</v>
      </c>
      <c r="Q22" s="16">
        <f>('Truck Diversion (No Build)- Dry'!S41+'Rail Diversion (No Build) - Dry'!R58)-'Barge (Build) - Dry'!W77</f>
        <v>1495119.6126147013</v>
      </c>
      <c r="R22" s="138">
        <f>'Barge - Liquid'!$B$67*-0.5</f>
        <v>-38500</v>
      </c>
      <c r="S22" s="16">
        <f t="shared" si="0"/>
        <v>3874849.851954774</v>
      </c>
      <c r="U22" s="16">
        <f>'Truck Diversion (No Build)- Dry'!F66</f>
        <v>2725392.3840000005</v>
      </c>
      <c r="V22" s="16">
        <f t="shared" si="1"/>
        <v>2183471.1169636063</v>
      </c>
      <c r="W22" s="138">
        <f t="shared" si="6"/>
        <v>541921.26703639422</v>
      </c>
      <c r="X22" s="138">
        <f>'Truck Diversion (No Build)- Dry'!H66-'Barge (Build) - Dry'!H77</f>
        <v>1313591.3748666667</v>
      </c>
      <c r="Y22" s="138">
        <f>'Truck Diversion (No Build)- Dry'!J66</f>
        <v>103234.56000000001</v>
      </c>
      <c r="Z22" s="16">
        <f>'Truck Diversion (No Build)- Dry'!Z66-'Barge (Build) - Dry'!AD77</f>
        <v>41240.663172268447</v>
      </c>
      <c r="AA22" s="16">
        <f>'Truck Diversion (No Build)- Dry'!V66+'Truck Diversion (No Build)- Dry'!X66</f>
        <v>532690.32960000006</v>
      </c>
      <c r="AB22" s="16">
        <f>'Truck Diversion (No Build)- Dry'!S66-'Barge (Build) - Dry'!W77</f>
        <v>460594.75501470146</v>
      </c>
      <c r="AC22" s="138">
        <f>'Barge - Liquid'!$B$67*-0.5</f>
        <v>-38500</v>
      </c>
      <c r="AD22" s="16">
        <f t="shared" si="7"/>
        <v>2954772.9496900309</v>
      </c>
      <c r="AE22" s="8"/>
      <c r="AF22" s="16">
        <v>0</v>
      </c>
      <c r="AH22" s="16">
        <f t="shared" si="2"/>
        <v>4427189.5632990561</v>
      </c>
      <c r="AI22" s="16">
        <f t="shared" si="3"/>
        <v>3507112.661034313</v>
      </c>
      <c r="AK22" s="61"/>
      <c r="AL22" s="61"/>
      <c r="AM22" s="61"/>
    </row>
    <row r="23" spans="1:44" x14ac:dyDescent="0.25">
      <c r="A23" s="5">
        <f t="shared" si="8"/>
        <v>2046</v>
      </c>
      <c r="B23" s="9"/>
      <c r="C23" s="16">
        <f>'Barge - Liquid'!L96-'Barge - Liquid'!L123</f>
        <v>106691.05194245161</v>
      </c>
      <c r="D23" s="16">
        <f>'Barge - Liquid'!F96-'Barge - Liquid'!F123</f>
        <v>300000</v>
      </c>
      <c r="E23" s="16">
        <f>'Barge - Liquid'!J96-'Barge - Liquid'!J123</f>
        <v>19250</v>
      </c>
      <c r="F23" s="16">
        <f>'Barge - Liquid'!N96</f>
        <v>126398.65940183081</v>
      </c>
      <c r="G23" s="16">
        <f t="shared" si="4"/>
        <v>552339.71134428238</v>
      </c>
      <c r="H23" s="8"/>
      <c r="I23" s="16">
        <f>'Truck Diversion (No Build)- Dry'!F42</f>
        <v>2493444.0960000004</v>
      </c>
      <c r="J23" s="16">
        <f>'Rail Diversion (No Build) - Dry'!G59</f>
        <v>339353.04</v>
      </c>
      <c r="K23" s="16">
        <f>'Barge (Build) - Dry'!F78</f>
        <v>2183471.1169636063</v>
      </c>
      <c r="L23" s="138">
        <f t="shared" si="5"/>
        <v>649326.01903639408</v>
      </c>
      <c r="M23" s="138">
        <f>'Truck Diversion (No Build)- Dry'!H42-'Barge (Build) - Dry'!H78</f>
        <v>1146359.3748666667</v>
      </c>
      <c r="N23" s="138">
        <f>'Truck Diversion (No Build)- Dry'!J42</f>
        <v>94448.640000000014</v>
      </c>
      <c r="O23" s="16">
        <f>('Truck Diversion (No Build)- Dry'!Z42+'Rail Diversion (No Build) - Dry'!AB59)-'Barge (Build) - Dry'!AD78</f>
        <v>40702.08445562781</v>
      </c>
      <c r="P23" s="16">
        <f>'Truck Diversion (No Build)- Dry'!V42+'Truck Diversion (No Build)- Dry'!X42</f>
        <v>487354.98239999998</v>
      </c>
      <c r="Q23" s="16">
        <f>('Truck Diversion (No Build)- Dry'!S42+'Rail Diversion (No Build) - Dry'!R59)-'Barge (Build) - Dry'!W78</f>
        <v>1491870.2538943486</v>
      </c>
      <c r="R23" s="138">
        <f>'Barge - Liquid'!$B$67*-0.5</f>
        <v>-38500</v>
      </c>
      <c r="S23" s="16">
        <f t="shared" si="0"/>
        <v>3871561.3546530372</v>
      </c>
      <c r="U23" s="16">
        <f>'Truck Diversion (No Build)- Dry'!F67</f>
        <v>2725392.3840000005</v>
      </c>
      <c r="V23" s="16">
        <f t="shared" si="1"/>
        <v>2183471.1169636063</v>
      </c>
      <c r="W23" s="138">
        <f t="shared" si="6"/>
        <v>541921.26703639422</v>
      </c>
      <c r="X23" s="138">
        <f>'Truck Diversion (No Build)- Dry'!H67-'Barge (Build) - Dry'!H78</f>
        <v>1313591.3748666667</v>
      </c>
      <c r="Y23" s="138">
        <f>'Truck Diversion (No Build)- Dry'!J67</f>
        <v>103234.56000000001</v>
      </c>
      <c r="Z23" s="16">
        <f>'Truck Diversion (No Build)- Dry'!Z67-'Barge (Build) - Dry'!AD78</f>
        <v>41240.663172268447</v>
      </c>
      <c r="AA23" s="16">
        <f>'Truck Diversion (No Build)- Dry'!V67+'Truck Diversion (No Build)- Dry'!X67</f>
        <v>532690.32960000006</v>
      </c>
      <c r="AB23" s="16">
        <f>'Truck Diversion (No Build)- Dry'!S67-'Barge (Build) - Dry'!W78</f>
        <v>457345.39629434887</v>
      </c>
      <c r="AC23" s="138">
        <f>'Barge - Liquid'!$B$67*-0.5</f>
        <v>-38500</v>
      </c>
      <c r="AD23" s="16">
        <f t="shared" si="7"/>
        <v>2951523.5909696785</v>
      </c>
      <c r="AE23" s="8"/>
      <c r="AF23" s="16">
        <v>0</v>
      </c>
      <c r="AH23" s="16">
        <f t="shared" si="2"/>
        <v>4423901.0659973193</v>
      </c>
      <c r="AI23" s="16">
        <f t="shared" si="3"/>
        <v>3503863.3023139611</v>
      </c>
      <c r="AK23" s="61"/>
      <c r="AL23" s="61"/>
      <c r="AM23" s="61"/>
    </row>
    <row r="24" spans="1:44" x14ac:dyDescent="0.25">
      <c r="A24" s="5">
        <f t="shared" si="8"/>
        <v>2047</v>
      </c>
      <c r="B24" s="9"/>
      <c r="C24" s="16">
        <f>'Barge - Liquid'!L97-'Barge - Liquid'!L124</f>
        <v>106691.05194245161</v>
      </c>
      <c r="D24" s="16">
        <f>'Barge - Liquid'!F97-'Barge - Liquid'!F124</f>
        <v>300000</v>
      </c>
      <c r="E24" s="16">
        <f>'Barge - Liquid'!J97-'Barge - Liquid'!J124</f>
        <v>19250</v>
      </c>
      <c r="F24" s="16">
        <f>'Barge - Liquid'!N97</f>
        <v>126398.65940183081</v>
      </c>
      <c r="G24" s="16">
        <f t="shared" si="4"/>
        <v>552339.71134428238</v>
      </c>
      <c r="H24" s="8"/>
      <c r="I24" s="16">
        <f>'Truck Diversion (No Build)- Dry'!F43</f>
        <v>2493444.0960000004</v>
      </c>
      <c r="J24" s="16">
        <f>'Rail Diversion (No Build) - Dry'!G60</f>
        <v>339353.04</v>
      </c>
      <c r="K24" s="16">
        <f>'Barge (Build) - Dry'!F79</f>
        <v>2183471.1169636063</v>
      </c>
      <c r="L24" s="138">
        <f t="shared" si="5"/>
        <v>649326.01903639408</v>
      </c>
      <c r="M24" s="138">
        <f>'Truck Diversion (No Build)- Dry'!H43-'Barge (Build) - Dry'!H79</f>
        <v>1146359.3748666667</v>
      </c>
      <c r="N24" s="138">
        <f>'Truck Diversion (No Build)- Dry'!J43</f>
        <v>94448.640000000014</v>
      </c>
      <c r="O24" s="16">
        <f>('Truck Diversion (No Build)- Dry'!Z43+'Rail Diversion (No Build) - Dry'!AB60)-'Barge (Build) - Dry'!AD79</f>
        <v>40664.122689008851</v>
      </c>
      <c r="P24" s="16">
        <f>'Truck Diversion (No Build)- Dry'!V43+'Truck Diversion (No Build)- Dry'!X43</f>
        <v>487354.98239999998</v>
      </c>
      <c r="Q24" s="16">
        <f>('Truck Diversion (No Build)- Dry'!S43+'Rail Diversion (No Build) - Dry'!R60)-'Barge (Build) - Dry'!W79</f>
        <v>1487808.555493908</v>
      </c>
      <c r="R24" s="138">
        <f>'Barge - Liquid'!$B$67*-0.5</f>
        <v>-38500</v>
      </c>
      <c r="S24" s="16">
        <f t="shared" si="0"/>
        <v>3867461.6944859778</v>
      </c>
      <c r="U24" s="16">
        <f>'Truck Diversion (No Build)- Dry'!F68</f>
        <v>2725392.3840000005</v>
      </c>
      <c r="V24" s="16">
        <f t="shared" si="1"/>
        <v>2183471.1169636063</v>
      </c>
      <c r="W24" s="138">
        <f t="shared" si="6"/>
        <v>541921.26703639422</v>
      </c>
      <c r="X24" s="138">
        <f>'Truck Diversion (No Build)- Dry'!H68-'Barge (Build) - Dry'!H79</f>
        <v>1313591.3748666667</v>
      </c>
      <c r="Y24" s="138">
        <f>'Truck Diversion (No Build)- Dry'!J68</f>
        <v>103234.56000000001</v>
      </c>
      <c r="Z24" s="16">
        <f>'Truck Diversion (No Build)- Dry'!Z68-'Barge (Build) - Dry'!AD79</f>
        <v>41240.663172268447</v>
      </c>
      <c r="AA24" s="16">
        <f>'Truck Diversion (No Build)- Dry'!V68+'Truck Diversion (No Build)- Dry'!X68</f>
        <v>532690.32960000006</v>
      </c>
      <c r="AB24" s="16">
        <f>'Truck Diversion (No Build)- Dry'!S68-'Barge (Build) - Dry'!W79</f>
        <v>453283.69789390813</v>
      </c>
      <c r="AC24" s="138">
        <f>'Barge - Liquid'!$B$67*-0.5</f>
        <v>-38500</v>
      </c>
      <c r="AD24" s="16">
        <f t="shared" si="7"/>
        <v>2947461.8925692379</v>
      </c>
      <c r="AE24" s="8"/>
      <c r="AF24" s="16">
        <f>((50-20)/50)*'Capital Costs'!$B$3</f>
        <v>11332524</v>
      </c>
      <c r="AH24" s="16">
        <f t="shared" si="2"/>
        <v>15752325.40583026</v>
      </c>
      <c r="AI24" s="16">
        <f t="shared" si="3"/>
        <v>14832325.60391352</v>
      </c>
      <c r="AK24" s="61"/>
      <c r="AL24" s="61"/>
      <c r="AM24" s="61"/>
    </row>
    <row r="25" spans="1:44" x14ac:dyDescent="0.25">
      <c r="A25" s="11" t="s">
        <v>45</v>
      </c>
      <c r="B25" s="38"/>
      <c r="C25" s="39">
        <f>SUBTOTAL(9,C5:C24)</f>
        <v>2133821.038849032</v>
      </c>
      <c r="D25" s="39">
        <f t="shared" ref="D25:G25" si="9">SUBTOTAL(9,D5:D24)</f>
        <v>6000000</v>
      </c>
      <c r="E25" s="39">
        <f t="shared" si="9"/>
        <v>385000</v>
      </c>
      <c r="F25" s="39">
        <f t="shared" si="9"/>
        <v>2527973.1880366155</v>
      </c>
      <c r="G25" s="39">
        <f t="shared" si="9"/>
        <v>11046794.226885648</v>
      </c>
      <c r="H25" s="40"/>
      <c r="I25" s="39">
        <f t="shared" ref="I25:S25" si="10">SUBTOTAL(9,I5:I24)</f>
        <v>49868881.920000009</v>
      </c>
      <c r="J25" s="39">
        <f t="shared" si="10"/>
        <v>6787060.7999999998</v>
      </c>
      <c r="K25" s="39">
        <f t="shared" si="10"/>
        <v>43669422.339272141</v>
      </c>
      <c r="L25" s="139">
        <f t="shared" si="10"/>
        <v>12986520.380727876</v>
      </c>
      <c r="M25" s="139">
        <f t="shared" si="10"/>
        <v>22927187.497333337</v>
      </c>
      <c r="N25" s="139">
        <f t="shared" si="10"/>
        <v>1888972.8000000012</v>
      </c>
      <c r="O25" s="39">
        <f t="shared" si="10"/>
        <v>822032.49127419398</v>
      </c>
      <c r="P25" s="39">
        <f t="shared" si="10"/>
        <v>9747099.648</v>
      </c>
      <c r="Q25" s="39">
        <f t="shared" si="10"/>
        <v>30371112.247704886</v>
      </c>
      <c r="R25" s="139">
        <f t="shared" ref="R25" si="11">SUBTOTAL(9,R5:R24)</f>
        <v>-770000</v>
      </c>
      <c r="S25" s="39">
        <f t="shared" si="10"/>
        <v>77972925.065040305</v>
      </c>
      <c r="T25" s="1"/>
      <c r="U25" s="39">
        <f t="shared" ref="U25:AB25" si="12">SUBTOTAL(9,U5:U24)</f>
        <v>54507847.680000022</v>
      </c>
      <c r="V25" s="39">
        <f t="shared" si="12"/>
        <v>43669422.339272141</v>
      </c>
      <c r="W25" s="139">
        <f t="shared" si="12"/>
        <v>10838425.340727881</v>
      </c>
      <c r="X25" s="139">
        <f t="shared" si="12"/>
        <v>26271827.49733334</v>
      </c>
      <c r="Y25" s="139">
        <f t="shared" si="12"/>
        <v>2064691.2000000009</v>
      </c>
      <c r="Z25" s="39">
        <f t="shared" si="12"/>
        <v>824813.26344536874</v>
      </c>
      <c r="AA25" s="39">
        <f t="shared" si="12"/>
        <v>10653806.592000002</v>
      </c>
      <c r="AB25" s="39">
        <f t="shared" si="12"/>
        <v>9680615.0957048927</v>
      </c>
      <c r="AC25" s="139">
        <f t="shared" ref="AC25" si="13">SUBTOTAL(9,AC5:AC24)</f>
        <v>-770000</v>
      </c>
      <c r="AD25" s="39">
        <f t="shared" ref="AD25" si="14">SUBTOTAL(9,AD5:AD24)</f>
        <v>59564178.989211492</v>
      </c>
      <c r="AE25" s="40"/>
      <c r="AF25" s="39">
        <f t="shared" ref="AF25" si="15">SUBTOTAL(9,AF5:AF24)</f>
        <v>11332524</v>
      </c>
      <c r="AG25" s="1"/>
      <c r="AH25" s="39">
        <f t="shared" si="2"/>
        <v>100352243.29192595</v>
      </c>
      <c r="AI25" s="39">
        <f t="shared" si="3"/>
        <v>81943497.216097146</v>
      </c>
    </row>
    <row r="27" spans="1:44" ht="20.25" thickBot="1" x14ac:dyDescent="0.35">
      <c r="A27" s="19" t="s">
        <v>55</v>
      </c>
    </row>
    <row r="28" spans="1:44" ht="15.75" thickTop="1" x14ac:dyDescent="0.25"/>
    <row r="29" spans="1:44" ht="47.45" customHeight="1" x14ac:dyDescent="0.25">
      <c r="C29" s="170" t="s">
        <v>56</v>
      </c>
      <c r="D29" s="170"/>
      <c r="E29" s="170"/>
      <c r="F29" s="170"/>
      <c r="G29" s="170"/>
      <c r="H29" s="1"/>
      <c r="I29" s="171" t="s">
        <v>57</v>
      </c>
      <c r="J29" s="171"/>
      <c r="K29" s="171"/>
      <c r="L29" s="171"/>
      <c r="M29" s="171"/>
      <c r="N29" s="171"/>
      <c r="O29" s="171"/>
      <c r="P29" s="171"/>
      <c r="Q29" s="171"/>
      <c r="R29" s="171"/>
      <c r="S29" s="171"/>
      <c r="T29" s="137"/>
      <c r="U29" s="171" t="s">
        <v>58</v>
      </c>
      <c r="V29" s="171"/>
      <c r="W29" s="171"/>
      <c r="X29" s="171"/>
      <c r="Y29" s="171"/>
      <c r="Z29" s="171"/>
      <c r="AA29" s="171"/>
      <c r="AB29" s="171"/>
      <c r="AC29" s="171"/>
      <c r="AD29" s="171"/>
      <c r="AE29" s="137"/>
      <c r="AF29" s="15" t="s">
        <v>59</v>
      </c>
      <c r="AG29" s="137"/>
      <c r="AH29" s="15" t="s">
        <v>60</v>
      </c>
      <c r="AI29" s="15" t="s">
        <v>61</v>
      </c>
      <c r="AJ29" s="136"/>
      <c r="AK29" s="169"/>
      <c r="AL29" s="169"/>
      <c r="AM29" s="1"/>
      <c r="AN29" s="169"/>
      <c r="AO29" s="169"/>
      <c r="AP29" s="1"/>
      <c r="AQ29" s="1"/>
      <c r="AR29" s="1"/>
    </row>
    <row r="30" spans="1:44" s="74" customFormat="1" ht="75" x14ac:dyDescent="0.25">
      <c r="A30" s="15" t="s">
        <v>42</v>
      </c>
      <c r="B30" s="130"/>
      <c r="C30" s="15" t="s">
        <v>62</v>
      </c>
      <c r="D30" s="131" t="s">
        <v>63</v>
      </c>
      <c r="E30" s="131" t="s">
        <v>391</v>
      </c>
      <c r="F30" s="15" t="s">
        <v>388</v>
      </c>
      <c r="G30" s="15" t="s">
        <v>64</v>
      </c>
      <c r="I30" s="141" t="s">
        <v>65</v>
      </c>
      <c r="J30" s="141" t="s">
        <v>66</v>
      </c>
      <c r="K30" s="141" t="s">
        <v>67</v>
      </c>
      <c r="L30" s="15" t="s">
        <v>68</v>
      </c>
      <c r="M30" s="15" t="s">
        <v>403</v>
      </c>
      <c r="N30" s="15" t="s">
        <v>289</v>
      </c>
      <c r="O30" s="15" t="s">
        <v>69</v>
      </c>
      <c r="P30" s="15" t="s">
        <v>70</v>
      </c>
      <c r="Q30" s="15" t="s">
        <v>71</v>
      </c>
      <c r="R30" s="15" t="s">
        <v>393</v>
      </c>
      <c r="S30" s="15" t="s">
        <v>64</v>
      </c>
      <c r="T30" s="140" t="s">
        <v>53</v>
      </c>
      <c r="U30" s="141" t="s">
        <v>72</v>
      </c>
      <c r="V30" s="141" t="s">
        <v>67</v>
      </c>
      <c r="W30" s="15" t="s">
        <v>68</v>
      </c>
      <c r="X30" s="15" t="s">
        <v>403</v>
      </c>
      <c r="Y30" s="15" t="s">
        <v>289</v>
      </c>
      <c r="Z30" s="15" t="s">
        <v>69</v>
      </c>
      <c r="AA30" s="15" t="s">
        <v>70</v>
      </c>
      <c r="AB30" s="15" t="s">
        <v>71</v>
      </c>
      <c r="AC30" s="15" t="s">
        <v>393</v>
      </c>
      <c r="AD30" s="15" t="s">
        <v>64</v>
      </c>
      <c r="AE30" s="136"/>
      <c r="AF30" s="15" t="s">
        <v>59</v>
      </c>
      <c r="AH30" s="15" t="s">
        <v>408</v>
      </c>
      <c r="AI30" s="15" t="s">
        <v>408</v>
      </c>
    </row>
    <row r="31" spans="1:44" x14ac:dyDescent="0.25">
      <c r="A31" s="5">
        <f>A5</f>
        <v>2028</v>
      </c>
      <c r="B31" s="9"/>
      <c r="C31" s="16">
        <f>'Barge - Liquid'!M78-'Barge - Liquid'!M105</f>
        <v>88833.342910605439</v>
      </c>
      <c r="D31" s="16">
        <f>'Barge - Liquid'!G78-'Barge - Liquid'!G105</f>
        <v>249786.67271512561</v>
      </c>
      <c r="E31" s="16">
        <f>'Barge - Liquid'!K78-'Barge - Liquid'!K105</f>
        <v>16027.978165887231</v>
      </c>
      <c r="F31" s="16">
        <f>'Barge - Liquid'!O78</f>
        <v>105242.33522545251</v>
      </c>
      <c r="G31" s="16">
        <f>SUM(C31:F31)</f>
        <v>459890.32901707076</v>
      </c>
      <c r="H31" s="145"/>
      <c r="I31" s="16">
        <f>'Truck Diversion (No Build)- Dry'!G24</f>
        <v>2076097.014470048</v>
      </c>
      <c r="J31" s="16">
        <f>'Rail Diversion (No Build) - Dry'!H41</f>
        <v>282552.88912454312</v>
      </c>
      <c r="K31" s="16">
        <f>'Barge (Build) - Dry'!G60</f>
        <v>1848715.6017311106</v>
      </c>
      <c r="L31" s="138">
        <f>(I31+J31)-K31</f>
        <v>509934.30186348059</v>
      </c>
      <c r="M31" s="138">
        <f>'Truck Diversion (No Build)- Dry'!I24-'Barge (Build) - Dry'!I60</f>
        <v>954484.31327912025</v>
      </c>
      <c r="N31" s="138">
        <f>'Truck Diversion (No Build)- Dry'!K24</f>
        <v>78640.038426895757</v>
      </c>
      <c r="O31" s="16">
        <f>('Truck Diversion (No Build)- Dry'!AA24+'Rail Diversion (No Build) - Dry'!AB41)-'Barge (Build) - Dry'!AE60</f>
        <v>33452.7001501903</v>
      </c>
      <c r="P31" s="16">
        <f>'Truck Diversion (No Build)- Dry'!AC24-'Truck Diversion (No Build)- Dry'!AA24</f>
        <v>405782.59828278207</v>
      </c>
      <c r="Q31" s="16">
        <f>('Truck Diversion (No Build)- Dry'!T24+'Rail Diversion (No Build) - Dry'!S41)-'Barge (Build) - Dry'!X60</f>
        <v>1316258.1209344228</v>
      </c>
      <c r="R31" s="138">
        <f>R5*VLOOKUP($A31,NPV!$B$3:$C$44,2,0)</f>
        <v>-32055.956331774458</v>
      </c>
      <c r="S31" s="16">
        <f>SUM(L31:R31)</f>
        <v>3266496.1166051175</v>
      </c>
      <c r="U31" s="16">
        <f>'Truck Diversion (No Build)- Dry'!G49</f>
        <v>2269222.3181416807</v>
      </c>
      <c r="V31" s="16">
        <f>K31</f>
        <v>1848715.6017311106</v>
      </c>
      <c r="W31" s="138">
        <f>U31-V31</f>
        <v>420506.71641057008</v>
      </c>
      <c r="X31" s="138">
        <f>'Truck Diversion (No Build)- Dry'!I49-'Barge (Build) - Dry'!I60</f>
        <v>1093725.39611744</v>
      </c>
      <c r="Y31" s="138">
        <f>'Truck Diversion (No Build)- Dry'!K49</f>
        <v>85955.390838700012</v>
      </c>
      <c r="Z31" s="16">
        <f>'Truck Diversion (No Build)- Dry'!AA49-'Barge (Build) - Dry'!AE60</f>
        <v>34337.893447887174</v>
      </c>
      <c r="AA31" s="16">
        <f>'Truck Diversion (No Build)- Dry'!AC49-'Truck Diversion (No Build)- Dry'!AA49</f>
        <v>443529.81672769214</v>
      </c>
      <c r="AB31" s="16">
        <f>'Truck Diversion (No Build)- Dry'!T49-'Barge (Build) - Dry'!X60</f>
        <v>451160.60123848054</v>
      </c>
      <c r="AC31" s="138">
        <f>AC5*VLOOKUP($A31,NPV!$B$3:$C$44,2,0)</f>
        <v>-32055.956331774458</v>
      </c>
      <c r="AD31" s="16">
        <f>SUM(W31:AC31)</f>
        <v>2497159.8584489953</v>
      </c>
      <c r="AE31" s="8"/>
      <c r="AF31" s="16">
        <v>0</v>
      </c>
      <c r="AH31" s="16">
        <f>SUM(G31,S31,AF31)</f>
        <v>3726386.445622188</v>
      </c>
      <c r="AI31" s="16">
        <f>SUM(G31,AD31,AF31)</f>
        <v>2957050.1874660659</v>
      </c>
    </row>
    <row r="32" spans="1:44" x14ac:dyDescent="0.25">
      <c r="A32" s="5">
        <f>A31+1</f>
        <v>2029</v>
      </c>
      <c r="B32" s="9"/>
      <c r="C32" s="16">
        <f>'Barge - Liquid'!M79-'Barge - Liquid'!M106</f>
        <v>86162.311261498966</v>
      </c>
      <c r="D32" s="16">
        <f>'Barge - Liquid'!G79-'Barge - Liquid'!G106</f>
        <v>242276.11320574745</v>
      </c>
      <c r="E32" s="16">
        <f>'Barge - Liquid'!K79-'Barge - Liquid'!K106</f>
        <v>15546.05059736879</v>
      </c>
      <c r="F32" s="16">
        <f>'Barge - Liquid'!O79</f>
        <v>102077.91971430894</v>
      </c>
      <c r="G32" s="16">
        <f t="shared" ref="G32:G50" si="16">SUM(C32:F32)</f>
        <v>446062.39477892412</v>
      </c>
      <c r="H32" s="145"/>
      <c r="I32" s="16">
        <f>'Truck Diversion (No Build)- Dry'!G25</f>
        <v>2013673.1469156628</v>
      </c>
      <c r="J32" s="16">
        <f>'Rail Diversion (No Build) - Dry'!H42</f>
        <v>274057.11845251522</v>
      </c>
      <c r="K32" s="16">
        <f>'Barge (Build) - Dry'!G61</f>
        <v>1798645.205001923</v>
      </c>
      <c r="L32" s="138">
        <f t="shared" ref="L32:L50" si="17">(I32+J32)-K32</f>
        <v>489085.060366255</v>
      </c>
      <c r="M32" s="138">
        <f>'Truck Diversion (No Build)- Dry'!I25-'Barge (Build) - Dry'!I61</f>
        <v>925784.97893222154</v>
      </c>
      <c r="N32" s="138">
        <f>'Truck Diversion (No Build)- Dry'!K25</f>
        <v>76275.497989229654</v>
      </c>
      <c r="O32" s="16">
        <f>('Truck Diversion (No Build)- Dry'!AA25+'Rail Diversion (No Build) - Dry'!AB42)-'Barge (Build) - Dry'!AE61</f>
        <v>32446.847866333956</v>
      </c>
      <c r="P32" s="16">
        <f>'Truck Diversion (No Build)- Dry'!AC25-'Truck Diversion (No Build)- Dry'!AA25</f>
        <v>393581.56962442497</v>
      </c>
      <c r="Q32" s="16">
        <f>('Truck Diversion (No Build)- Dry'!T25+'Rail Diversion (No Build) - Dry'!S42)-'Barge (Build) - Dry'!X61</f>
        <v>1279275.0211563855</v>
      </c>
      <c r="R32" s="138">
        <f>R6*VLOOKUP($A32,NPV!$B$3:$C$44,2,0)</f>
        <v>-31092.101194737599</v>
      </c>
      <c r="S32" s="16">
        <f t="shared" ref="S32:S50" si="18">SUM(L32:R32)</f>
        <v>3165356.8747401135</v>
      </c>
      <c r="U32" s="16">
        <f>'Truck Diversion (No Build)- Dry'!G50</f>
        <v>2200991.5791868875</v>
      </c>
      <c r="V32" s="16">
        <f t="shared" ref="V32:V50" si="19">K32</f>
        <v>1798645.205001923</v>
      </c>
      <c r="W32" s="138">
        <f t="shared" ref="W32:W50" si="20">U32-V32</f>
        <v>402346.37418496446</v>
      </c>
      <c r="X32" s="138">
        <f>'Truck Diversion (No Build)- Dry'!I50-'Barge (Build) - Dry'!I61</f>
        <v>1060839.3754776334</v>
      </c>
      <c r="Y32" s="138">
        <f>'Truck Diversion (No Build)- Dry'!K50</f>
        <v>83370.893151018463</v>
      </c>
      <c r="Z32" s="16">
        <f>'Truck Diversion (No Build)- Dry'!AA50-'Barge (Build) - Dry'!AE61</f>
        <v>33305.425264682039</v>
      </c>
      <c r="AA32" s="16">
        <f>'Truck Diversion (No Build)- Dry'!AC50-'Truck Diversion (No Build)- Dry'!AA50</f>
        <v>430193.80865925521</v>
      </c>
      <c r="AB32" s="16">
        <f>'Truck Diversion (No Build)- Dry'!T50-'Barge (Build) - Dry'!X61</f>
        <v>439563.37470158841</v>
      </c>
      <c r="AC32" s="138">
        <f>AC6*VLOOKUP($A32,NPV!$B$3:$C$44,2,0)</f>
        <v>-31092.101194737599</v>
      </c>
      <c r="AD32" s="16">
        <f t="shared" ref="AD32:AD50" si="21">SUM(W32:AC32)</f>
        <v>2418527.1502444046</v>
      </c>
      <c r="AE32" s="8"/>
      <c r="AF32" s="16">
        <v>0</v>
      </c>
      <c r="AH32" s="16">
        <f t="shared" ref="AH32:AH51" si="22">SUM(G32,S32,AF32)</f>
        <v>3611419.2695190376</v>
      </c>
      <c r="AI32" s="16">
        <f t="shared" ref="AI32:AI51" si="23">SUM(G32,AD32,AF32)</f>
        <v>2864589.5450233286</v>
      </c>
    </row>
    <row r="33" spans="1:35" x14ac:dyDescent="0.25">
      <c r="A33" s="5">
        <f t="shared" ref="A33:A50" si="24">A32+1</f>
        <v>2030</v>
      </c>
      <c r="B33" s="9"/>
      <c r="C33" s="16">
        <f>'Barge - Liquid'!M80-'Barge - Liquid'!M107</f>
        <v>83571.591912220159</v>
      </c>
      <c r="D33" s="16">
        <f>'Barge - Liquid'!G80-'Barge - Liquid'!G107</f>
        <v>234991.38041294622</v>
      </c>
      <c r="E33" s="16">
        <f>'Barge - Liquid'!K80-'Barge - Liquid'!K107</f>
        <v>15078.613576497373</v>
      </c>
      <c r="F33" s="16">
        <f>'Barge - Liquid'!O80</f>
        <v>99008.651517273465</v>
      </c>
      <c r="G33" s="16">
        <f t="shared" si="16"/>
        <v>432650.23741893721</v>
      </c>
      <c r="H33" s="145"/>
      <c r="I33" s="16">
        <f>'Truck Diversion (No Build)- Dry'!G26</f>
        <v>1953126.2336718359</v>
      </c>
      <c r="J33" s="16">
        <f>'Rail Diversion (No Build) - Dry'!H43</f>
        <v>265816.79772309912</v>
      </c>
      <c r="K33" s="16">
        <f>'Barge (Build) - Dry'!G62</f>
        <v>1750080.3197165809</v>
      </c>
      <c r="L33" s="138">
        <f t="shared" si="17"/>
        <v>468862.7116783543</v>
      </c>
      <c r="M33" s="138">
        <f>'Truck Diversion (No Build)- Dry'!I26-'Barge (Build) - Dry'!I62</f>
        <v>897948.57316413336</v>
      </c>
      <c r="N33" s="138">
        <f>'Truck Diversion (No Build)- Dry'!K26</f>
        <v>73982.054305751357</v>
      </c>
      <c r="O33" s="16">
        <f>('Truck Diversion (No Build)- Dry'!AA26+'Rail Diversion (No Build) - Dry'!AB43)-'Barge (Build) - Dry'!AE62</f>
        <v>31471.239443582886</v>
      </c>
      <c r="P33" s="16">
        <f>'Truck Diversion (No Build)- Dry'!AC26-'Truck Diversion (No Build)- Dry'!AA26</f>
        <v>381747.400217677</v>
      </c>
      <c r="Q33" s="16">
        <f>('Truck Diversion (No Build)- Dry'!T26+'Rail Diversion (No Build) - Dry'!S43)-'Barge (Build) - Dry'!X62</f>
        <v>1242637.5465314498</v>
      </c>
      <c r="R33" s="138">
        <f>R7*VLOOKUP($A33,NPV!$B$3:$C$44,2,0)</f>
        <v>-30157.227152994761</v>
      </c>
      <c r="S33" s="16">
        <f t="shared" si="18"/>
        <v>3066492.2981879539</v>
      </c>
      <c r="U33" s="16">
        <f>'Truck Diversion (No Build)- Dry'!G51</f>
        <v>2134812.394943635</v>
      </c>
      <c r="V33" s="16">
        <f t="shared" si="19"/>
        <v>1750080.3197165809</v>
      </c>
      <c r="W33" s="138">
        <f t="shared" si="20"/>
        <v>384732.07522705407</v>
      </c>
      <c r="X33" s="138">
        <f>'Truck Diversion (No Build)- Dry'!I51-'Barge (Build) - Dry'!I62</f>
        <v>1028942.1682615262</v>
      </c>
      <c r="Y33" s="138">
        <f>'Truck Diversion (No Build)- Dry'!K51</f>
        <v>80864.105869077073</v>
      </c>
      <c r="Z33" s="16">
        <f>'Truck Diversion (No Build)- Dry'!AA51-'Barge (Build) - Dry'!AE62</f>
        <v>32304.001226655713</v>
      </c>
      <c r="AA33" s="16">
        <f>'Truck Diversion (No Build)- Dry'!AC51-'Truck Diversion (No Build)- Dry'!AA51</f>
        <v>417258.78628443764</v>
      </c>
      <c r="AB33" s="16">
        <f>'Truck Diversion (No Build)- Dry'!T51-'Barge (Build) - Dry'!X62</f>
        <v>427560.74390041723</v>
      </c>
      <c r="AC33" s="138">
        <f>AC7*VLOOKUP($A33,NPV!$B$3:$C$44,2,0)</f>
        <v>-30157.227152994761</v>
      </c>
      <c r="AD33" s="16">
        <f t="shared" si="21"/>
        <v>2341504.6536161732</v>
      </c>
      <c r="AE33" s="8"/>
      <c r="AF33" s="16">
        <v>0</v>
      </c>
      <c r="AH33" s="16">
        <f t="shared" si="22"/>
        <v>3499142.5356068909</v>
      </c>
      <c r="AI33" s="16">
        <f t="shared" si="23"/>
        <v>2774154.8910351102</v>
      </c>
    </row>
    <row r="34" spans="1:35" x14ac:dyDescent="0.25">
      <c r="A34" s="5">
        <f t="shared" si="24"/>
        <v>2031</v>
      </c>
      <c r="B34" s="9"/>
      <c r="C34" s="16">
        <f>'Barge - Liquid'!M81-'Barge - Liquid'!M108</f>
        <v>81058.770040950694</v>
      </c>
      <c r="D34" s="16">
        <f>'Barge - Liquid'!G81-'Barge - Liquid'!G108</f>
        <v>227925.6842026636</v>
      </c>
      <c r="E34" s="16">
        <f>'Barge - Liquid'!K81-'Barge - Liquid'!K108</f>
        <v>14625.231403004247</v>
      </c>
      <c r="F34" s="16">
        <f>'Barge - Liquid'!O81</f>
        <v>96031.669754872433</v>
      </c>
      <c r="G34" s="16">
        <f t="shared" si="16"/>
        <v>419641.35540149099</v>
      </c>
      <c r="H34" s="145"/>
      <c r="I34" s="16">
        <f>'Truck Diversion (No Build)- Dry'!G27</f>
        <v>1894399.8386729739</v>
      </c>
      <c r="J34" s="16">
        <f>'Rail Diversion (No Build) - Dry'!H44</f>
        <v>257824.2460941796</v>
      </c>
      <c r="K34" s="16">
        <f>'Barge (Build) - Dry'!G63</f>
        <v>1702975.6783146972</v>
      </c>
      <c r="L34" s="138">
        <f t="shared" si="17"/>
        <v>449248.40645245626</v>
      </c>
      <c r="M34" s="138">
        <f>'Truck Diversion (No Build)- Dry'!I27-'Barge (Build) - Dry'!I63</f>
        <v>870949.14952874254</v>
      </c>
      <c r="N34" s="138">
        <f>'Truck Diversion (No Build)- Dry'!K27</f>
        <v>71757.56964670356</v>
      </c>
      <c r="O34" s="16">
        <f>('Truck Diversion (No Build)- Dry'!AA27+'Rail Diversion (No Build) - Dry'!AB44)-'Barge (Build) - Dry'!AE63</f>
        <v>30524.965512689516</v>
      </c>
      <c r="P34" s="16">
        <f>'Truck Diversion (No Build)- Dry'!AC27-'Truck Diversion (No Build)- Dry'!AA27</f>
        <v>370269.05937699031</v>
      </c>
      <c r="Q34" s="16">
        <f>('Truck Diversion (No Build)- Dry'!T27+'Rail Diversion (No Build) - Dry'!S44)-'Barge (Build) - Dry'!X63</f>
        <v>1207036.8388956415</v>
      </c>
      <c r="R34" s="138">
        <f>R8*VLOOKUP($A34,NPV!$B$3:$C$44,2,0)</f>
        <v>-29250.462806008502</v>
      </c>
      <c r="S34" s="16">
        <f t="shared" si="18"/>
        <v>2970535.5266072149</v>
      </c>
      <c r="U34" s="16">
        <f>'Truck Diversion (No Build)- Dry'!G52</f>
        <v>2070623.0794797624</v>
      </c>
      <c r="V34" s="16">
        <f t="shared" si="19"/>
        <v>1702975.6783146972</v>
      </c>
      <c r="W34" s="138">
        <f t="shared" si="20"/>
        <v>367647.40116506512</v>
      </c>
      <c r="X34" s="138">
        <f>'Truck Diversion (No Build)- Dry'!I52-'Barge (Build) - Dry'!I63</f>
        <v>998004.04293067544</v>
      </c>
      <c r="Y34" s="138">
        <f>'Truck Diversion (No Build)- Dry'!K52</f>
        <v>78432.692404536443</v>
      </c>
      <c r="Z34" s="16">
        <f>'Truck Diversion (No Build)- Dry'!AA52-'Barge (Build) - Dry'!AE63</f>
        <v>31332.687901702928</v>
      </c>
      <c r="AA34" s="16">
        <f>'Truck Diversion (No Build)- Dry'!AC52-'Truck Diversion (No Build)- Dry'!AA52</f>
        <v>404712.69280740805</v>
      </c>
      <c r="AB34" s="16">
        <f>'Truck Diversion (No Build)- Dry'!T52-'Barge (Build) - Dry'!X63</f>
        <v>415866.19194954773</v>
      </c>
      <c r="AC34" s="138">
        <f>AC8*VLOOKUP($A34,NPV!$B$3:$C$44,2,0)</f>
        <v>-29250.462806008502</v>
      </c>
      <c r="AD34" s="16">
        <f t="shared" si="21"/>
        <v>2266745.2463529273</v>
      </c>
      <c r="AE34" s="8"/>
      <c r="AF34" s="16">
        <v>0</v>
      </c>
      <c r="AH34" s="16">
        <f t="shared" si="22"/>
        <v>3390176.8820087058</v>
      </c>
      <c r="AI34" s="16">
        <f t="shared" si="23"/>
        <v>2686386.6017544181</v>
      </c>
    </row>
    <row r="35" spans="1:35" x14ac:dyDescent="0.25">
      <c r="A35" s="5">
        <f t="shared" si="24"/>
        <v>2032</v>
      </c>
      <c r="B35" s="9"/>
      <c r="C35" s="16">
        <f>'Barge - Liquid'!M82-'Barge - Liquid'!M109</f>
        <v>78621.503434481754</v>
      </c>
      <c r="D35" s="16">
        <f>'Barge - Liquid'!G82-'Barge - Liquid'!G109</f>
        <v>221072.4386058813</v>
      </c>
      <c r="E35" s="16">
        <f>'Barge - Liquid'!K82-'Barge - Liquid'!K109</f>
        <v>14185.481477210713</v>
      </c>
      <c r="F35" s="16">
        <f>'Barge - Liquid'!O82</f>
        <v>93144.199568256488</v>
      </c>
      <c r="G35" s="16">
        <f t="shared" si="16"/>
        <v>407023.62308583024</v>
      </c>
      <c r="H35" s="145"/>
      <c r="I35" s="16">
        <f>'Truck Diversion (No Build)- Dry'!G28</f>
        <v>1837439.2227671912</v>
      </c>
      <c r="J35" s="16">
        <f>'Rail Diversion (No Build) - Dry'!H45</f>
        <v>250072.01367039728</v>
      </c>
      <c r="K35" s="16">
        <f>'Barge (Build) - Dry'!G64</f>
        <v>1657287.3743361486</v>
      </c>
      <c r="L35" s="138">
        <f t="shared" si="17"/>
        <v>430223.86210143985</v>
      </c>
      <c r="M35" s="138">
        <f>'Truck Diversion (No Build)- Dry'!I28-'Barge (Build) - Dry'!I64</f>
        <v>844761.54173495877</v>
      </c>
      <c r="N35" s="138">
        <f>'Truck Diversion (No Build)- Dry'!K28</f>
        <v>69599.970559363297</v>
      </c>
      <c r="O35" s="16">
        <f>('Truck Diversion (No Build)- Dry'!AA28+'Rail Diversion (No Build) - Dry'!AB45)-'Barge (Build) - Dry'!AE64</f>
        <v>29607.144047225524</v>
      </c>
      <c r="P35" s="16">
        <f>'Truck Diversion (No Build)- Dry'!AC28-'Truck Diversion (No Build)- Dry'!AA28</f>
        <v>359135.84808631463</v>
      </c>
      <c r="Q35" s="16">
        <f>('Truck Diversion (No Build)- Dry'!T28+'Rail Diversion (No Build) - Dry'!S45)-'Barge (Build) - Dry'!X64</f>
        <v>1173109.9665895824</v>
      </c>
      <c r="R35" s="138">
        <f>R9*VLOOKUP($A35,NPV!$B$3:$C$44,2,0)</f>
        <v>-28370.962954421437</v>
      </c>
      <c r="S35" s="16">
        <f t="shared" si="18"/>
        <v>2878067.3701644633</v>
      </c>
      <c r="U35" s="16">
        <f>'Truck Diversion (No Build)- Dry'!G53</f>
        <v>2008363.8016292555</v>
      </c>
      <c r="V35" s="16">
        <f t="shared" si="19"/>
        <v>1657287.3743361486</v>
      </c>
      <c r="W35" s="138">
        <f t="shared" si="20"/>
        <v>351076.42729310691</v>
      </c>
      <c r="X35" s="138">
        <f>'Truck Diversion (No Build)- Dry'!I53-'Barge (Build) - Dry'!I64</f>
        <v>967996.16191142146</v>
      </c>
      <c r="Y35" s="138">
        <f>'Truck Diversion (No Build)- Dry'!K53</f>
        <v>76074.386425350589</v>
      </c>
      <c r="Z35" s="16">
        <f>'Truck Diversion (No Build)- Dry'!AA53-'Barge (Build) - Dry'!AE64</f>
        <v>30390.579924057158</v>
      </c>
      <c r="AA35" s="16">
        <f>'Truck Diversion (No Build)- Dry'!AC53-'Truck Diversion (No Build)- Dry'!AA53</f>
        <v>392543.833954809</v>
      </c>
      <c r="AB35" s="16">
        <f>'Truck Diversion (No Build)- Dry'!T53-'Barge (Build) - Dry'!X64</f>
        <v>405138.46143048955</v>
      </c>
      <c r="AC35" s="138">
        <f>AC9*VLOOKUP($A35,NPV!$B$3:$C$44,2,0)</f>
        <v>-28370.962954421437</v>
      </c>
      <c r="AD35" s="16">
        <f t="shared" si="21"/>
        <v>2194848.8879848132</v>
      </c>
      <c r="AE35" s="8"/>
      <c r="AF35" s="16">
        <v>0</v>
      </c>
      <c r="AH35" s="16">
        <f t="shared" si="22"/>
        <v>3285090.9932502937</v>
      </c>
      <c r="AI35" s="16">
        <f t="shared" si="23"/>
        <v>2601872.5110706436</v>
      </c>
    </row>
    <row r="36" spans="1:35" x14ac:dyDescent="0.25">
      <c r="A36" s="5">
        <f t="shared" si="24"/>
        <v>2033</v>
      </c>
      <c r="B36" s="9"/>
      <c r="C36" s="16">
        <f>'Barge - Liquid'!M83-'Barge - Liquid'!M110</f>
        <v>76257.520305025959</v>
      </c>
      <c r="D36" s="16">
        <f>'Barge - Liquid'!G83-'Barge - Liquid'!G110</f>
        <v>214425.25567980739</v>
      </c>
      <c r="E36" s="16">
        <f>'Barge - Liquid'!K83-'Barge - Liquid'!K110</f>
        <v>13758.953906120973</v>
      </c>
      <c r="F36" s="16">
        <f>'Barge - Liquid'!O83</f>
        <v>90343.549532741512</v>
      </c>
      <c r="G36" s="16">
        <f t="shared" si="16"/>
        <v>394785.27942369587</v>
      </c>
      <c r="H36" s="145"/>
      <c r="I36" s="16">
        <f>'Truck Diversion (No Build)- Dry'!G29</f>
        <v>1782191.2926936871</v>
      </c>
      <c r="J36" s="16">
        <f>'Rail Diversion (No Build) - Dry'!H46</f>
        <v>242552.87455906626</v>
      </c>
      <c r="K36" s="16">
        <f>'Barge (Build) - Dry'!G65</f>
        <v>1612972.8214956552</v>
      </c>
      <c r="L36" s="138">
        <f t="shared" si="17"/>
        <v>411771.34575709817</v>
      </c>
      <c r="M36" s="138">
        <f>'Truck Diversion (No Build)- Dry'!I29-'Barge (Build) - Dry'!I65</f>
        <v>819361.34018909698</v>
      </c>
      <c r="N36" s="138">
        <f>'Truck Diversion (No Build)- Dry'!K29</f>
        <v>67507.24593536694</v>
      </c>
      <c r="O36" s="16">
        <f>('Truck Diversion (No Build)- Dry'!AA29+'Rail Diversion (No Build) - Dry'!AB46)-'Barge (Build) - Dry'!AE65</f>
        <v>28716.91954144086</v>
      </c>
      <c r="P36" s="16">
        <f>'Truck Diversion (No Build)- Dry'!AC29-'Truck Diversion (No Build)- Dry'!AA29</f>
        <v>348337.38902649336</v>
      </c>
      <c r="Q36" s="16">
        <f>('Truck Diversion (No Build)- Dry'!T29+'Rail Diversion (No Build) - Dry'!S46)-'Barge (Build) - Dry'!X65</f>
        <v>1139482.5615808752</v>
      </c>
      <c r="R36" s="138">
        <f>R10*VLOOKUP($A36,NPV!$B$3:$C$44,2,0)</f>
        <v>-27517.907812241941</v>
      </c>
      <c r="S36" s="16">
        <f t="shared" si="18"/>
        <v>2787658.8942181296</v>
      </c>
      <c r="U36" s="16">
        <f>'Truck Diversion (No Build)- Dry'!G54</f>
        <v>1947976.5292233324</v>
      </c>
      <c r="V36" s="16">
        <f t="shared" si="19"/>
        <v>1612972.8214956552</v>
      </c>
      <c r="W36" s="138">
        <f t="shared" si="20"/>
        <v>335003.70772767719</v>
      </c>
      <c r="X36" s="138">
        <f>'Truck Diversion (No Build)- Dry'!I54-'Barge (Build) - Dry'!I65</f>
        <v>938890.55471524876</v>
      </c>
      <c r="Y36" s="138">
        <f>'Truck Diversion (No Build)- Dry'!K54</f>
        <v>73786.989743308048</v>
      </c>
      <c r="Z36" s="16">
        <f>'Truck Diversion (No Build)- Dry'!AA54-'Barge (Build) - Dry'!AE65</f>
        <v>29476.799150394916</v>
      </c>
      <c r="AA36" s="16">
        <f>'Truck Diversion (No Build)- Dry'!AC54-'Truck Diversion (No Build)- Dry'!AA54</f>
        <v>380740.86707546946</v>
      </c>
      <c r="AB36" s="16">
        <f>'Truck Diversion (No Build)- Dry'!T54-'Barge (Build) - Dry'!X65</f>
        <v>394024.21147798083</v>
      </c>
      <c r="AC36" s="138">
        <f>AC10*VLOOKUP($A36,NPV!$B$3:$C$44,2,0)</f>
        <v>-27517.907812241941</v>
      </c>
      <c r="AD36" s="16">
        <f t="shared" si="21"/>
        <v>2124405.2220778377</v>
      </c>
      <c r="AE36" s="8"/>
      <c r="AF36" s="16">
        <v>0</v>
      </c>
      <c r="AH36" s="16">
        <f t="shared" si="22"/>
        <v>3182444.1736418256</v>
      </c>
      <c r="AI36" s="16">
        <f t="shared" si="23"/>
        <v>2519190.5015015337</v>
      </c>
    </row>
    <row r="37" spans="1:35" x14ac:dyDescent="0.25">
      <c r="A37" s="5">
        <f t="shared" si="24"/>
        <v>2034</v>
      </c>
      <c r="B37" s="9"/>
      <c r="C37" s="16">
        <f>'Barge - Liquid'!M84-'Barge - Liquid'!M111</f>
        <v>73964.617172673097</v>
      </c>
      <c r="D37" s="16">
        <f>'Barge - Liquid'!G84-'Barge - Liquid'!G111</f>
        <v>207977.93955364428</v>
      </c>
      <c r="E37" s="16">
        <f>'Barge - Liquid'!K84-'Barge - Liquid'!K111</f>
        <v>13345.251121358837</v>
      </c>
      <c r="F37" s="16">
        <f>'Barge - Liquid'!O84</f>
        <v>87627.109149118827</v>
      </c>
      <c r="G37" s="16">
        <f t="shared" si="16"/>
        <v>382914.91699679504</v>
      </c>
      <c r="H37" s="145"/>
      <c r="I37" s="16">
        <f>'Truck Diversion (No Build)- Dry'!G30</f>
        <v>1728604.5515942648</v>
      </c>
      <c r="J37" s="16">
        <f>'Rail Diversion (No Build) - Dry'!H47</f>
        <v>235259.82013488482</v>
      </c>
      <c r="K37" s="16">
        <f>'Barge (Build) - Dry'!G66</f>
        <v>1569990.713987902</v>
      </c>
      <c r="L37" s="138">
        <f t="shared" si="17"/>
        <v>393873.65774124768</v>
      </c>
      <c r="M37" s="138">
        <f>'Truck Diversion (No Build)- Dry'!I30-'Barge (Build) - Dry'!I66</f>
        <v>794724.86924257712</v>
      </c>
      <c r="N37" s="138">
        <f>'Truck Diversion (No Build)- Dry'!K30</f>
        <v>65477.445136146394</v>
      </c>
      <c r="O37" s="16">
        <f>('Truck Diversion (No Build)- Dry'!AA30+'Rail Diversion (No Build) - Dry'!AB47)-'Barge (Build) - Dry'!AE66</f>
        <v>27853.462212842733</v>
      </c>
      <c r="P37" s="16">
        <f>'Truck Diversion (No Build)- Dry'!AC30-'Truck Diversion (No Build)- Dry'!AA30</f>
        <v>337863.61690251535</v>
      </c>
      <c r="Q37" s="16">
        <f>('Truck Diversion (No Build)- Dry'!T30+'Rail Diversion (No Build) - Dry'!S47)-'Barge (Build) - Dry'!X66</f>
        <v>1106806.6606592473</v>
      </c>
      <c r="R37" s="138">
        <f>R11*VLOOKUP($A37,NPV!$B$3:$C$44,2,0)</f>
        <v>-26690.502242717692</v>
      </c>
      <c r="S37" s="16">
        <f t="shared" si="18"/>
        <v>2699909.2096518585</v>
      </c>
      <c r="U37" s="16">
        <f>'Truck Diversion (No Build)- Dry'!G55</f>
        <v>1889404.9749983826</v>
      </c>
      <c r="V37" s="16">
        <f t="shared" si="19"/>
        <v>1569990.713987902</v>
      </c>
      <c r="W37" s="138">
        <f t="shared" si="20"/>
        <v>319414.26101048058</v>
      </c>
      <c r="X37" s="138">
        <f>'Truck Diversion (No Build)- Dry'!I55-'Barge (Build) - Dry'!I66</f>
        <v>910660.09186736052</v>
      </c>
      <c r="Y37" s="138">
        <f>'Truck Diversion (No Build)- Dry'!K55</f>
        <v>71568.370265090241</v>
      </c>
      <c r="Z37" s="16">
        <f>'Truck Diversion (No Build)- Dry'!AA55-'Barge (Build) - Dry'!AE66</f>
        <v>28590.493841314175</v>
      </c>
      <c r="AA37" s="16">
        <f>'Truck Diversion (No Build)- Dry'!AC55-'Truck Diversion (No Build)- Dry'!AA55</f>
        <v>369292.7905678656</v>
      </c>
      <c r="AB37" s="16">
        <f>'Truck Diversion (No Build)- Dry'!T55-'Barge (Build) - Dry'!X66</f>
        <v>383195.87834059267</v>
      </c>
      <c r="AC37" s="138">
        <f>AC11*VLOOKUP($A37,NPV!$B$3:$C$44,2,0)</f>
        <v>-26690.502242717692</v>
      </c>
      <c r="AD37" s="16">
        <f t="shared" si="21"/>
        <v>2056031.383649986</v>
      </c>
      <c r="AE37" s="8"/>
      <c r="AF37" s="16">
        <v>0</v>
      </c>
      <c r="AH37" s="16">
        <f t="shared" si="22"/>
        <v>3082824.1266486538</v>
      </c>
      <c r="AI37" s="16">
        <f t="shared" si="23"/>
        <v>2438946.300646781</v>
      </c>
    </row>
    <row r="38" spans="1:35" x14ac:dyDescent="0.25">
      <c r="A38" s="5">
        <f t="shared" si="24"/>
        <v>2035</v>
      </c>
      <c r="B38" s="9"/>
      <c r="C38" s="16">
        <f>'Barge - Liquid'!M85-'Barge - Liquid'!M112</f>
        <v>71740.656811516106</v>
      </c>
      <c r="D38" s="16">
        <f>'Barge - Liquid'!G85-'Barge - Liquid'!G112</f>
        <v>201724.48065338912</v>
      </c>
      <c r="E38" s="16">
        <f>'Barge - Liquid'!K85-'Barge - Liquid'!K112</f>
        <v>12943.98750859248</v>
      </c>
      <c r="F38" s="16">
        <f>'Barge - Liquid'!O85</f>
        <v>84992.346410396538</v>
      </c>
      <c r="G38" s="16">
        <f t="shared" si="16"/>
        <v>371401.47138389421</v>
      </c>
      <c r="H38" s="145"/>
      <c r="I38" s="16">
        <f>'Truck Diversion (No Build)- Dry'!G31</f>
        <v>1676629.051012866</v>
      </c>
      <c r="J38" s="16">
        <f>'Rail Diversion (No Build) - Dry'!H48</f>
        <v>228186.05250716279</v>
      </c>
      <c r="K38" s="16">
        <f>'Barge (Build) - Dry'!G67</f>
        <v>1528300.9879862017</v>
      </c>
      <c r="L38" s="138">
        <f t="shared" si="17"/>
        <v>376514.11553382711</v>
      </c>
      <c r="M38" s="138">
        <f>'Truck Diversion (No Build)- Dry'!I31-'Barge (Build) - Dry'!I67</f>
        <v>770829.16512374103</v>
      </c>
      <c r="N38" s="138">
        <f>'Truck Diversion (No Build)- Dry'!K31</f>
        <v>63508.676174729771</v>
      </c>
      <c r="O38" s="16">
        <f>('Truck Diversion (No Build)- Dry'!AA31+'Rail Diversion (No Build) - Dry'!AB48)-'Barge (Build) - Dry'!AE67</f>
        <v>27015.96722875144</v>
      </c>
      <c r="P38" s="16">
        <f>'Truck Diversion (No Build)- Dry'!AC31-'Truck Diversion (No Build)- Dry'!AA31</f>
        <v>327704.76906160556</v>
      </c>
      <c r="Q38" s="16">
        <f>('Truck Diversion (No Build)- Dry'!T31+'Rail Diversion (No Build) - Dry'!S48)-'Barge (Build) - Dry'!X67</f>
        <v>1075683.3237380637</v>
      </c>
      <c r="R38" s="138">
        <f>R12*VLOOKUP($A38,NPV!$B$3:$C$44,2,0)</f>
        <v>-25887.975017184959</v>
      </c>
      <c r="S38" s="16">
        <f t="shared" si="18"/>
        <v>2615368.0418435335</v>
      </c>
      <c r="U38" s="16">
        <f>'Truck Diversion (No Build)- Dry'!G56</f>
        <v>1832594.5441303421</v>
      </c>
      <c r="V38" s="16">
        <f t="shared" si="19"/>
        <v>1528300.9879862017</v>
      </c>
      <c r="W38" s="138">
        <f t="shared" si="20"/>
        <v>304293.55614414043</v>
      </c>
      <c r="X38" s="138">
        <f>'Truck Diversion (No Build)- Dry'!I56-'Barge (Build) - Dry'!I67</f>
        <v>883278.45961916645</v>
      </c>
      <c r="Y38" s="138">
        <f>'Truck Diversion (No Build)- Dry'!K56</f>
        <v>69416.460004937195</v>
      </c>
      <c r="Z38" s="16">
        <f>'Truck Diversion (No Build)- Dry'!AA56-'Barge (Build) - Dry'!AE67</f>
        <v>27730.83786742403</v>
      </c>
      <c r="AA38" s="16">
        <f>'Truck Diversion (No Build)- Dry'!AC56-'Truck Diversion (No Build)- Dry'!AA56</f>
        <v>358188.93362547591</v>
      </c>
      <c r="AB38" s="16">
        <f>'Truck Diversion (No Build)- Dry'!T56-'Barge (Build) - Dry'!X67</f>
        <v>373274.31246719958</v>
      </c>
      <c r="AC38" s="138">
        <f>AC12*VLOOKUP($A38,NPV!$B$3:$C$44,2,0)</f>
        <v>-25887.975017184959</v>
      </c>
      <c r="AD38" s="16">
        <f t="shared" si="21"/>
        <v>1990294.5847111589</v>
      </c>
      <c r="AE38" s="8"/>
      <c r="AF38" s="16">
        <v>0</v>
      </c>
      <c r="AH38" s="16">
        <f t="shared" si="22"/>
        <v>2986769.5132274278</v>
      </c>
      <c r="AI38" s="16">
        <f t="shared" si="23"/>
        <v>2361696.056095053</v>
      </c>
    </row>
    <row r="39" spans="1:35" x14ac:dyDescent="0.25">
      <c r="A39" s="5">
        <f t="shared" si="24"/>
        <v>2036</v>
      </c>
      <c r="B39" s="9"/>
      <c r="C39" s="16">
        <f>'Barge - Liquid'!M86-'Barge - Liquid'!M113</f>
        <v>69583.566257532599</v>
      </c>
      <c r="D39" s="16">
        <f>'Barge - Liquid'!G86-'Barge - Liquid'!G113</f>
        <v>195659.05010028067</v>
      </c>
      <c r="E39" s="16">
        <f>'Barge - Liquid'!K86-'Barge - Liquid'!K113</f>
        <v>12554.789048101338</v>
      </c>
      <c r="F39" s="16">
        <f>'Barge - Liquid'!O86</f>
        <v>82436.805441703735</v>
      </c>
      <c r="G39" s="16">
        <f t="shared" si="16"/>
        <v>360234.21084761829</v>
      </c>
      <c r="H39" s="145"/>
      <c r="I39" s="16">
        <f>'Truck Diversion (No Build)- Dry'!G32</f>
        <v>1626216.3443383765</v>
      </c>
      <c r="J39" s="16">
        <f>'Rail Diversion (No Build) - Dry'!H49</f>
        <v>221324.97818347509</v>
      </c>
      <c r="K39" s="16">
        <f>'Barge (Build) - Dry'!G68</f>
        <v>1487864.7842988104</v>
      </c>
      <c r="L39" s="138">
        <f t="shared" si="17"/>
        <v>359676.53822304122</v>
      </c>
      <c r="M39" s="138">
        <f>'Truck Diversion (No Build)- Dry'!I32-'Barge (Build) - Dry'!I68</f>
        <v>747651.95453321165</v>
      </c>
      <c r="N39" s="138">
        <f>'Truck Diversion (No Build)- Dry'!K32</f>
        <v>61599.103952211233</v>
      </c>
      <c r="O39" s="16">
        <f>('Truck Diversion (No Build)- Dry'!AA32+'Rail Diversion (No Build) - Dry'!AB49)-'Barge (Build) - Dry'!AE68</f>
        <v>26203.653956111972</v>
      </c>
      <c r="P39" s="16">
        <f>'Truck Diversion (No Build)- Dry'!AC32-'Truck Diversion (No Build)- Dry'!AA32</f>
        <v>317851.37639340997</v>
      </c>
      <c r="Q39" s="16">
        <f>('Truck Diversion (No Build)- Dry'!T32+'Rail Diversion (No Build) - Dry'!S49)-'Barge (Build) - Dry'!X68</f>
        <v>1044818.1677542997</v>
      </c>
      <c r="R39" s="138">
        <f>R13*VLOOKUP($A39,NPV!$B$3:$C$44,2,0)</f>
        <v>-25109.57809620268</v>
      </c>
      <c r="S39" s="16">
        <f t="shared" si="18"/>
        <v>2532691.2167160832</v>
      </c>
      <c r="U39" s="16">
        <f>'Truck Diversion (No Build)- Dry'!G57</f>
        <v>1777492.2833465978</v>
      </c>
      <c r="V39" s="16">
        <f t="shared" si="19"/>
        <v>1487864.7842988104</v>
      </c>
      <c r="W39" s="138">
        <f t="shared" si="20"/>
        <v>289627.49904778739</v>
      </c>
      <c r="X39" s="138">
        <f>'Truck Diversion (No Build)- Dry'!I57-'Barge (Build) - Dry'!I68</f>
        <v>856720.13542111218</v>
      </c>
      <c r="Y39" s="138">
        <f>'Truck Diversion (No Build)- Dry'!K57</f>
        <v>67329.253157068088</v>
      </c>
      <c r="Z39" s="16">
        <f>'Truck Diversion (No Build)- Dry'!AA57-'Barge (Build) - Dry'!AE68</f>
        <v>26897.029939305565</v>
      </c>
      <c r="AA39" s="16">
        <f>'Truck Diversion (No Build)- Dry'!AC57-'Truck Diversion (No Build)- Dry'!AA57</f>
        <v>347418.9462904713</v>
      </c>
      <c r="AB39" s="16">
        <f>'Truck Diversion (No Build)- Dry'!T57-'Barge (Build) - Dry'!X68</f>
        <v>362984.33062882849</v>
      </c>
      <c r="AC39" s="138">
        <f>AC13*VLOOKUP($A39,NPV!$B$3:$C$44,2,0)</f>
        <v>-25109.57809620268</v>
      </c>
      <c r="AD39" s="16">
        <f t="shared" si="21"/>
        <v>1925867.6163883703</v>
      </c>
      <c r="AE39" s="8"/>
      <c r="AF39" s="16">
        <v>0</v>
      </c>
      <c r="AH39" s="16">
        <f t="shared" si="22"/>
        <v>2892925.4275637018</v>
      </c>
      <c r="AI39" s="16">
        <f t="shared" si="23"/>
        <v>2286101.8272359883</v>
      </c>
    </row>
    <row r="40" spans="1:35" x14ac:dyDescent="0.25">
      <c r="A40" s="5">
        <f t="shared" si="24"/>
        <v>2037</v>
      </c>
      <c r="B40" s="9"/>
      <c r="C40" s="16">
        <f>'Barge - Liquid'!M87-'Barge - Liquid'!M114</f>
        <v>67491.334876365276</v>
      </c>
      <c r="D40" s="16">
        <f>'Barge - Liquid'!G87-'Barge - Liquid'!G114</f>
        <v>189775.99427767284</v>
      </c>
      <c r="E40" s="16">
        <f>'Barge - Liquid'!K87-'Barge - Liquid'!K114</f>
        <v>12177.292966150671</v>
      </c>
      <c r="F40" s="16">
        <f>'Barge - Liquid'!O87</f>
        <v>79958.104211157843</v>
      </c>
      <c r="G40" s="16">
        <f t="shared" si="16"/>
        <v>349402.72633134661</v>
      </c>
      <c r="H40" s="145"/>
      <c r="I40" s="16">
        <f>'Truck Diversion (No Build)- Dry'!G33</f>
        <v>1577319.44164731</v>
      </c>
      <c r="J40" s="16">
        <f>'Rail Diversion (No Build) - Dry'!H50</f>
        <v>214670.2019238362</v>
      </c>
      <c r="K40" s="16">
        <f>'Barge (Build) - Dry'!G69</f>
        <v>1448644.4121480915</v>
      </c>
      <c r="L40" s="138">
        <f t="shared" si="17"/>
        <v>343345.23142305482</v>
      </c>
      <c r="M40" s="138">
        <f>'Truck Diversion (No Build)- Dry'!I33-'Barge (Build) - Dry'!I69</f>
        <v>725171.63388284366</v>
      </c>
      <c r="N40" s="138">
        <f>'Truck Diversion (No Build)- Dry'!K33</f>
        <v>59746.948547246597</v>
      </c>
      <c r="O40" s="16">
        <f>('Truck Diversion (No Build)- Dry'!AA33+'Rail Diversion (No Build) - Dry'!AB50)-'Barge (Build) - Dry'!AE69</f>
        <v>25415.765233862247</v>
      </c>
      <c r="P40" s="16">
        <f>'Truck Diversion (No Build)- Dry'!AC33-'Truck Diversion (No Build)- Dry'!AA33</f>
        <v>308294.25450379238</v>
      </c>
      <c r="Q40" s="16">
        <f>('Truck Diversion (No Build)- Dry'!T33+'Rail Diversion (No Build) - Dry'!S50)-'Barge (Build) - Dry'!X69</f>
        <v>1014826.315246937</v>
      </c>
      <c r="R40" s="138">
        <f>R14*VLOOKUP($A40,NPV!$B$3:$C$44,2,0)</f>
        <v>-24354.585932301339</v>
      </c>
      <c r="S40" s="16">
        <f t="shared" si="18"/>
        <v>2452445.5629054355</v>
      </c>
      <c r="U40" s="16">
        <f>'Truck Diversion (No Build)- Dry'!G58</f>
        <v>1724046.8315679901</v>
      </c>
      <c r="V40" s="16">
        <f t="shared" si="19"/>
        <v>1448644.4121480915</v>
      </c>
      <c r="W40" s="138">
        <f t="shared" si="20"/>
        <v>275402.41941989865</v>
      </c>
      <c r="X40" s="138">
        <f>'Truck Diversion (No Build)- Dry'!I58-'Barge (Build) - Dry'!I69</f>
        <v>830960.36413298943</v>
      </c>
      <c r="Y40" s="138">
        <f>'Truck Diversion (No Build)- Dry'!K58</f>
        <v>65304.804226060231</v>
      </c>
      <c r="Z40" s="16">
        <f>'Truck Diversion (No Build)- Dry'!AA58-'Barge (Build) - Dry'!AE69</f>
        <v>26088.292860626156</v>
      </c>
      <c r="AA40" s="16">
        <f>'Truck Diversion (No Build)- Dry'!AC58-'Truck Diversion (No Build)- Dry'!AA58</f>
        <v>336972.7898064708</v>
      </c>
      <c r="AB40" s="16">
        <f>'Truck Diversion (No Build)- Dry'!T58-'Barge (Build) - Dry'!X69</f>
        <v>352959.68217274954</v>
      </c>
      <c r="AC40" s="138">
        <f>AC14*VLOOKUP($A40,NPV!$B$3:$C$44,2,0)</f>
        <v>-24354.585932301339</v>
      </c>
      <c r="AD40" s="16">
        <f t="shared" si="21"/>
        <v>1863333.7666864935</v>
      </c>
      <c r="AE40" s="8"/>
      <c r="AF40" s="16">
        <v>0</v>
      </c>
      <c r="AH40" s="16">
        <f t="shared" si="22"/>
        <v>2801848.2892367821</v>
      </c>
      <c r="AI40" s="16">
        <f t="shared" si="23"/>
        <v>2212736.4930178402</v>
      </c>
    </row>
    <row r="41" spans="1:35" x14ac:dyDescent="0.25">
      <c r="A41" s="5">
        <f t="shared" si="24"/>
        <v>2038</v>
      </c>
      <c r="B41" s="9"/>
      <c r="C41" s="16">
        <f>'Barge - Liquid'!M88-'Barge - Liquid'!M115</f>
        <v>65462.012489200075</v>
      </c>
      <c r="D41" s="16">
        <f>'Barge - Liquid'!G88-'Barge - Liquid'!G115</f>
        <v>184069.82956127333</v>
      </c>
      <c r="E41" s="16">
        <f>'Barge - Liquid'!K88-'Barge - Liquid'!K115</f>
        <v>11811.14739684837</v>
      </c>
      <c r="F41" s="16">
        <f>'Barge - Liquid'!O88</f>
        <v>77553.932309561438</v>
      </c>
      <c r="G41" s="16">
        <f t="shared" si="16"/>
        <v>338896.92175688321</v>
      </c>
      <c r="H41" s="145"/>
      <c r="I41" s="16">
        <f>'Truck Diversion (No Build)- Dry'!G34</f>
        <v>1529892.7659042773</v>
      </c>
      <c r="J41" s="16">
        <f>'Rail Diversion (No Build) - Dry'!H51</f>
        <v>208215.52077966649</v>
      </c>
      <c r="K41" s="16">
        <f>'Barge (Build) - Dry'!G70</f>
        <v>1410603.3140387614</v>
      </c>
      <c r="L41" s="138">
        <f t="shared" si="17"/>
        <v>327504.9726451824</v>
      </c>
      <c r="M41" s="138">
        <f>'Truck Diversion (No Build)- Dry'!I34-'Barge (Build) - Dry'!I70</f>
        <v>703367.24915891699</v>
      </c>
      <c r="N41" s="138">
        <f>'Truck Diversion (No Build)- Dry'!K34</f>
        <v>57950.483556980202</v>
      </c>
      <c r="O41" s="16">
        <f>('Truck Diversion (No Build)- Dry'!AA34+'Rail Diversion (No Build) - Dry'!AB51)-'Barge (Build) - Dry'!AE70</f>
        <v>24651.566667179675</v>
      </c>
      <c r="P41" s="16">
        <f>'Truck Diversion (No Build)- Dry'!AC34-'Truck Diversion (No Build)- Dry'!AA34</f>
        <v>299024.49515401782</v>
      </c>
      <c r="Q41" s="16">
        <f>('Truck Diversion (No Build)- Dry'!T34+'Rail Diversion (No Build) - Dry'!S51)-'Barge (Build) - Dry'!X70</f>
        <v>986274.83180303033</v>
      </c>
      <c r="R41" s="138">
        <f>R15*VLOOKUP($A41,NPV!$B$3:$C$44,2,0)</f>
        <v>-23622.294793696736</v>
      </c>
      <c r="S41" s="16">
        <f t="shared" si="18"/>
        <v>2375151.3041916108</v>
      </c>
      <c r="U41" s="16">
        <f>'Truck Diversion (No Build)- Dry'!G59</f>
        <v>1672208.3720349078</v>
      </c>
      <c r="V41" s="16">
        <f t="shared" si="19"/>
        <v>1410603.3140387614</v>
      </c>
      <c r="W41" s="138">
        <f t="shared" si="20"/>
        <v>261605.05799614638</v>
      </c>
      <c r="X41" s="138">
        <f>'Truck Diversion (No Build)- Dry'!I59-'Barge (Build) - Dry'!I70</f>
        <v>805975.13494955306</v>
      </c>
      <c r="Y41" s="138">
        <f>'Truck Diversion (No Build)- Dry'!K59</f>
        <v>63341.226213443471</v>
      </c>
      <c r="Z41" s="16">
        <f>'Truck Diversion (No Build)- Dry'!AA59-'Barge (Build) - Dry'!AE70</f>
        <v>25303.87280371111</v>
      </c>
      <c r="AA41" s="16">
        <f>'Truck Diversion (No Build)- Dry'!AC59-'Truck Diversion (No Build)- Dry'!AA59</f>
        <v>326840.72726136842</v>
      </c>
      <c r="AB41" s="16">
        <f>'Truck Diversion (No Build)- Dry'!T59-'Barge (Build) - Dry'!X70</f>
        <v>343785.50361443823</v>
      </c>
      <c r="AC41" s="138">
        <f>AC15*VLOOKUP($A41,NPV!$B$3:$C$44,2,0)</f>
        <v>-23622.294793696736</v>
      </c>
      <c r="AD41" s="16">
        <f t="shared" si="21"/>
        <v>1803229.2280449639</v>
      </c>
      <c r="AE41" s="8"/>
      <c r="AF41" s="16">
        <v>0</v>
      </c>
      <c r="AH41" s="16">
        <f t="shared" si="22"/>
        <v>2714048.2259484939</v>
      </c>
      <c r="AI41" s="16">
        <f t="shared" si="23"/>
        <v>2142126.1498018471</v>
      </c>
    </row>
    <row r="42" spans="1:35" x14ac:dyDescent="0.25">
      <c r="A42" s="5">
        <f t="shared" si="24"/>
        <v>2039</v>
      </c>
      <c r="B42" s="9"/>
      <c r="C42" s="16">
        <f>'Barge - Liquid'!M89-'Barge - Liquid'!M116</f>
        <v>63493.707554995213</v>
      </c>
      <c r="D42" s="16">
        <f>'Barge - Liquid'!G89-'Barge - Liquid'!G116</f>
        <v>178535.23720783053</v>
      </c>
      <c r="E42" s="16">
        <f>'Barge - Liquid'!K89-'Barge - Liquid'!K116</f>
        <v>11456.011054169125</v>
      </c>
      <c r="F42" s="16">
        <f>'Barge - Liquid'!O89</f>
        <v>75222.048796858813</v>
      </c>
      <c r="G42" s="16">
        <f t="shared" si="16"/>
        <v>328707.00461385364</v>
      </c>
      <c r="H42" s="145"/>
      <c r="I42" s="16">
        <f>'Truck Diversion (No Build)- Dry'!G35</f>
        <v>1483892.1104794154</v>
      </c>
      <c r="J42" s="16">
        <f>'Rail Diversion (No Build) - Dry'!H52</f>
        <v>201954.91831199467</v>
      </c>
      <c r="K42" s="16">
        <f>'Barge (Build) - Dry'!G71</f>
        <v>1373706.0316824766</v>
      </c>
      <c r="L42" s="138">
        <f t="shared" si="17"/>
        <v>312140.99710893352</v>
      </c>
      <c r="M42" s="138">
        <f>'Truck Diversion (No Build)- Dry'!I35-'Barge (Build) - Dry'!I71</f>
        <v>682218.47639080219</v>
      </c>
      <c r="N42" s="138">
        <f>'Truck Diversion (No Build)- Dry'!K35</f>
        <v>56208.034487856647</v>
      </c>
      <c r="O42" s="16">
        <f>('Truck Diversion (No Build)- Dry'!AA35+'Rail Diversion (No Build) - Dry'!AB52)-'Barge (Build) - Dry'!AE71</f>
        <v>23910.345942948275</v>
      </c>
      <c r="P42" s="16">
        <f>'Truck Diversion (No Build)- Dry'!AC35-'Truck Diversion (No Build)- Dry'!AA35</f>
        <v>290033.45795734023</v>
      </c>
      <c r="Q42" s="16">
        <f>('Truck Diversion (No Build)- Dry'!T35+'Rail Diversion (No Build) - Dry'!S52)-'Barge (Build) - Dry'!X71</f>
        <v>957944.64505590487</v>
      </c>
      <c r="R42" s="138">
        <f>R16*VLOOKUP($A42,NPV!$B$3:$C$44,2,0)</f>
        <v>-22912.022108338253</v>
      </c>
      <c r="S42" s="16">
        <f t="shared" si="18"/>
        <v>2299543.9348354475</v>
      </c>
      <c r="U42" s="16">
        <f>'Truck Diversion (No Build)- Dry'!G60</f>
        <v>1621928.5858728494</v>
      </c>
      <c r="V42" s="16">
        <f t="shared" si="19"/>
        <v>1373706.0316824766</v>
      </c>
      <c r="W42" s="138">
        <f t="shared" si="20"/>
        <v>248222.55419037282</v>
      </c>
      <c r="X42" s="138">
        <f>'Truck Diversion (No Build)- Dry'!I60-'Barge (Build) - Dry'!I71</f>
        <v>781741.15901993529</v>
      </c>
      <c r="Y42" s="138">
        <f>'Truck Diversion (No Build)- Dry'!K60</f>
        <v>61436.688858820053</v>
      </c>
      <c r="Z42" s="16">
        <f>'Truck Diversion (No Build)- Dry'!AA60-'Barge (Build) - Dry'!AE71</f>
        <v>24543.038606897291</v>
      </c>
      <c r="AA42" s="16">
        <f>'Truck Diversion (No Build)- Dry'!AC60-'Truck Diversion (No Build)- Dry'!AA60</f>
        <v>317013.31451151147</v>
      </c>
      <c r="AB42" s="16">
        <f>'Truck Diversion (No Build)- Dry'!T60-'Barge (Build) - Dry'!X71</f>
        <v>334260.25426777313</v>
      </c>
      <c r="AC42" s="138">
        <f>AC16*VLOOKUP($A42,NPV!$B$3:$C$44,2,0)</f>
        <v>-22912.022108338253</v>
      </c>
      <c r="AD42" s="16">
        <f t="shared" si="21"/>
        <v>1744304.9873469716</v>
      </c>
      <c r="AE42" s="8"/>
      <c r="AF42" s="16">
        <v>0</v>
      </c>
      <c r="AH42" s="16">
        <f t="shared" si="22"/>
        <v>2628250.939449301</v>
      </c>
      <c r="AI42" s="16">
        <f t="shared" si="23"/>
        <v>2073011.9919608254</v>
      </c>
    </row>
    <row r="43" spans="1:35" x14ac:dyDescent="0.25">
      <c r="A43" s="5">
        <f t="shared" si="24"/>
        <v>2040</v>
      </c>
      <c r="B43" s="9"/>
      <c r="C43" s="16">
        <f>'Barge - Liquid'!M90-'Barge - Liquid'!M117</f>
        <v>61584.58540736686</v>
      </c>
      <c r="D43" s="16">
        <f>'Barge - Liquid'!G90-'Barge - Liquid'!G117</f>
        <v>173167.05839750788</v>
      </c>
      <c r="E43" s="16">
        <f>'Barge - Liquid'!K90-'Barge - Liquid'!K117</f>
        <v>11111.552913840089</v>
      </c>
      <c r="F43" s="16">
        <f>'Barge - Liquid'!O90</f>
        <v>72960.280113345128</v>
      </c>
      <c r="G43" s="16">
        <f t="shared" si="16"/>
        <v>318823.47683205997</v>
      </c>
      <c r="H43" s="145"/>
      <c r="I43" s="16">
        <f>'Truck Diversion (No Build)- Dry'!G36</f>
        <v>1439274.5979431772</v>
      </c>
      <c r="J43" s="16">
        <f>'Rail Diversion (No Build) - Dry'!H53</f>
        <v>195882.55898350602</v>
      </c>
      <c r="K43" s="16">
        <f>'Barge (Build) - Dry'!G72</f>
        <v>1337918.1729469919</v>
      </c>
      <c r="L43" s="138">
        <f t="shared" si="17"/>
        <v>297238.98397969129</v>
      </c>
      <c r="M43" s="138">
        <f>'Truck Diversion (No Build)- Dry'!I36-'Barge (Build) - Dry'!I72</f>
        <v>661705.60270688869</v>
      </c>
      <c r="N43" s="138">
        <f>'Truck Diversion (No Build)- Dry'!K36</f>
        <v>54517.977194817322</v>
      </c>
      <c r="O43" s="16">
        <f>('Truck Diversion (No Build)- Dry'!AA36+'Rail Diversion (No Build) - Dry'!AB53)-'Barge (Build) - Dry'!AE72</f>
        <v>23191.412165808226</v>
      </c>
      <c r="P43" s="16">
        <f>'Truck Diversion (No Build)- Dry'!AC36-'Truck Diversion (No Build)- Dry'!AA36</f>
        <v>281312.7623252573</v>
      </c>
      <c r="Q43" s="16">
        <f>('Truck Diversion (No Build)- Dry'!T36+'Rail Diversion (No Build) - Dry'!S53)-'Barge (Build) - Dry'!X72</f>
        <v>930416.03329413605</v>
      </c>
      <c r="R43" s="138">
        <f>R17*VLOOKUP($A43,NPV!$B$3:$C$44,2,0)</f>
        <v>-22223.10582768017</v>
      </c>
      <c r="S43" s="16">
        <f t="shared" si="18"/>
        <v>2226159.6658389186</v>
      </c>
      <c r="U43" s="16">
        <f>'Truck Diversion (No Build)- Dry'!G61</f>
        <v>1573160.6070541705</v>
      </c>
      <c r="V43" s="16">
        <f t="shared" si="19"/>
        <v>1337918.1729469919</v>
      </c>
      <c r="W43" s="138">
        <f t="shared" si="20"/>
        <v>235242.43410717859</v>
      </c>
      <c r="X43" s="138">
        <f>'Truck Diversion (No Build)- Dry'!I61-'Barge (Build) - Dry'!I72</f>
        <v>758235.84773999557</v>
      </c>
      <c r="Y43" s="138">
        <f>'Truck Diversion (No Build)- Dry'!K61</f>
        <v>59589.416933870089</v>
      </c>
      <c r="Z43" s="16">
        <f>'Truck Diversion (No Build)- Dry'!AA61-'Barge (Build) - Dry'!AE72</f>
        <v>23805.081093013865</v>
      </c>
      <c r="AA43" s="16">
        <f>'Truck Diversion (No Build)- Dry'!AC61-'Truck Diversion (No Build)- Dry'!AA61</f>
        <v>307481.39137876965</v>
      </c>
      <c r="AB43" s="16">
        <f>'Truck Diversion (No Build)- Dry'!T61-'Barge (Build) - Dry'!X72</f>
        <v>324981.22098753683</v>
      </c>
      <c r="AC43" s="138">
        <f>AC17*VLOOKUP($A43,NPV!$B$3:$C$44,2,0)</f>
        <v>-22223.10582768017</v>
      </c>
      <c r="AD43" s="16">
        <f t="shared" si="21"/>
        <v>1687112.2864126845</v>
      </c>
      <c r="AE43" s="8"/>
      <c r="AF43" s="16">
        <v>0</v>
      </c>
      <c r="AH43" s="16">
        <f t="shared" si="22"/>
        <v>2544983.1426709788</v>
      </c>
      <c r="AI43" s="16">
        <f t="shared" si="23"/>
        <v>2005935.7632447444</v>
      </c>
    </row>
    <row r="44" spans="1:35" x14ac:dyDescent="0.25">
      <c r="A44" s="5">
        <f t="shared" si="24"/>
        <v>2041</v>
      </c>
      <c r="B44" s="9"/>
      <c r="C44" s="16">
        <f>'Barge - Liquid'!M91-'Barge - Liquid'!M118</f>
        <v>59732.866544487741</v>
      </c>
      <c r="D44" s="16">
        <f>'Barge - Liquid'!G91-'Barge - Liquid'!G118</f>
        <v>167960.28942532267</v>
      </c>
      <c r="E44" s="16">
        <f>'Barge - Liquid'!K91-'Barge - Liquid'!K118</f>
        <v>10777.451904791553</v>
      </c>
      <c r="F44" s="16">
        <f>'Barge - Liquid'!O91</f>
        <v>70766.518053681022</v>
      </c>
      <c r="G44" s="16">
        <f t="shared" si="16"/>
        <v>309237.12592828297</v>
      </c>
      <c r="H44" s="145"/>
      <c r="I44" s="16">
        <f>'Truck Diversion (No Build)- Dry'!G37</f>
        <v>1395998.6401000749</v>
      </c>
      <c r="J44" s="16">
        <f>'Rail Diversion (No Build) - Dry'!H54</f>
        <v>189992.78271921052</v>
      </c>
      <c r="K44" s="16">
        <f>'Barge (Build) - Dry'!G73</f>
        <v>1303206.379799092</v>
      </c>
      <c r="L44" s="138">
        <f t="shared" si="17"/>
        <v>282785.04302019347</v>
      </c>
      <c r="M44" s="138">
        <f>'Truck Diversion (No Build)- Dry'!I37-'Barge (Build) - Dry'!I73</f>
        <v>641809.50796012487</v>
      </c>
      <c r="N44" s="138">
        <f>'Truck Diversion (No Build)- Dry'!K37</f>
        <v>52878.736367427082</v>
      </c>
      <c r="O44" s="16">
        <f>('Truck Diversion (No Build)- Dry'!AA37+'Rail Diversion (No Build) - Dry'!AB54)-'Barge (Build) - Dry'!AE73</f>
        <v>22494.095214168989</v>
      </c>
      <c r="P44" s="16">
        <f>'Truck Diversion (No Build)- Dry'!AC37-'Truck Diversion (No Build)- Dry'!AA37</f>
        <v>272854.27965592372</v>
      </c>
      <c r="Q44" s="16">
        <f>('Truck Diversion (No Build)- Dry'!T37+'Rail Diversion (No Build) - Dry'!S54)-'Barge (Build) - Dry'!X73</f>
        <v>903666.35616638232</v>
      </c>
      <c r="R44" s="138">
        <f>R18*VLOOKUP($A44,NPV!$B$3:$C$44,2,0)</f>
        <v>-21554.903809583095</v>
      </c>
      <c r="S44" s="16">
        <f t="shared" si="18"/>
        <v>2154933.1145746373</v>
      </c>
      <c r="U44" s="16">
        <f>'Truck Diversion (No Build)- Dry'!G62</f>
        <v>1525858.9787140356</v>
      </c>
      <c r="V44" s="16">
        <f t="shared" si="19"/>
        <v>1303206.379799092</v>
      </c>
      <c r="W44" s="138">
        <f t="shared" si="20"/>
        <v>222652.59891494364</v>
      </c>
      <c r="X44" s="138">
        <f>'Truck Diversion (No Build)- Dry'!I62-'Barge (Build) - Dry'!I73</f>
        <v>735437.29169737687</v>
      </c>
      <c r="Y44" s="138">
        <f>'Truck Diversion (No Build)- Dry'!K62</f>
        <v>57797.688587652854</v>
      </c>
      <c r="Z44" s="16">
        <f>'Truck Diversion (No Build)- Dry'!AA62-'Barge (Build) - Dry'!AE73</f>
        <v>23089.312408354865</v>
      </c>
      <c r="AA44" s="16">
        <f>'Truck Diversion (No Build)- Dry'!AC62-'Truck Diversion (No Build)- Dry'!AA62</f>
        <v>298236.07311228872</v>
      </c>
      <c r="AB44" s="16">
        <f>'Truck Diversion (No Build)- Dry'!T62-'Barge (Build) - Dry'!X73</f>
        <v>315942.26452424587</v>
      </c>
      <c r="AC44" s="138">
        <f>AC18*VLOOKUP($A44,NPV!$B$3:$C$44,2,0)</f>
        <v>-21554.903809583095</v>
      </c>
      <c r="AD44" s="16">
        <f t="shared" si="21"/>
        <v>1631600.3254352799</v>
      </c>
      <c r="AE44" s="8"/>
      <c r="AF44" s="16">
        <v>0</v>
      </c>
      <c r="AH44" s="16">
        <f t="shared" si="22"/>
        <v>2464170.24050292</v>
      </c>
      <c r="AI44" s="16">
        <f t="shared" si="23"/>
        <v>1940837.4513635628</v>
      </c>
    </row>
    <row r="45" spans="1:35" x14ac:dyDescent="0.25">
      <c r="A45" s="5">
        <f t="shared" si="24"/>
        <v>2042</v>
      </c>
      <c r="B45" s="9"/>
      <c r="C45" s="16">
        <f>'Barge - Liquid'!M92-'Barge - Liquid'!M119</f>
        <v>57936.824970405192</v>
      </c>
      <c r="D45" s="16">
        <f>'Barge - Liquid'!G92-'Barge - Liquid'!G119</f>
        <v>162910.07703717041</v>
      </c>
      <c r="E45" s="16">
        <f>'Barge - Liquid'!K92-'Barge - Liquid'!K119</f>
        <v>10453.396609885109</v>
      </c>
      <c r="F45" s="16">
        <f>'Barge - Liquid'!O92</f>
        <v>68638.717801824459</v>
      </c>
      <c r="G45" s="16">
        <f t="shared" si="16"/>
        <v>299939.01641928515</v>
      </c>
      <c r="H45" s="145"/>
      <c r="I45" s="16">
        <f>'Truck Diversion (No Build)- Dry'!G38</f>
        <v>1354023.8992241272</v>
      </c>
      <c r="J45" s="16">
        <f>'Rail Diversion (No Build) - Dry'!H55</f>
        <v>184280.09963066006</v>
      </c>
      <c r="K45" s="16">
        <f>'Barge (Build) - Dry'!G74</f>
        <v>1269538.29721141</v>
      </c>
      <c r="L45" s="138">
        <f t="shared" si="17"/>
        <v>268765.70164337731</v>
      </c>
      <c r="M45" s="138">
        <f>'Truck Diversion (No Build)- Dry'!I38-'Barge (Build) - Dry'!I74</f>
        <v>622511.64690603781</v>
      </c>
      <c r="N45" s="138">
        <f>'Truck Diversion (No Build)- Dry'!K38</f>
        <v>51288.784061519968</v>
      </c>
      <c r="O45" s="16">
        <f>('Truck Diversion (No Build)- Dry'!AA38+'Rail Diversion (No Build) - Dry'!AB55)-'Barge (Build) - Dry'!AE74</f>
        <v>21817.745115585833</v>
      </c>
      <c r="P45" s="16">
        <f>'Truck Diversion (No Build)- Dry'!AC38-'Truck Diversion (No Build)- Dry'!AA38</f>
        <v>264650.12575744296</v>
      </c>
      <c r="Q45" s="16">
        <f>('Truck Diversion (No Build)- Dry'!T38+'Rail Diversion (No Build) - Dry'!S55)-'Barge (Build) - Dry'!X74</f>
        <v>877673.61608336377</v>
      </c>
      <c r="R45" s="138">
        <f>R19*VLOOKUP($A45,NPV!$B$3:$C$44,2,0)</f>
        <v>-20906.793219770221</v>
      </c>
      <c r="S45" s="16">
        <f t="shared" si="18"/>
        <v>2085800.8263475574</v>
      </c>
      <c r="U45" s="16">
        <f>'Truck Diversion (No Build)- Dry'!G63</f>
        <v>1479979.6107798601</v>
      </c>
      <c r="V45" s="16">
        <f t="shared" si="19"/>
        <v>1269538.29721141</v>
      </c>
      <c r="W45" s="138">
        <f t="shared" si="20"/>
        <v>210441.31356845004</v>
      </c>
      <c r="X45" s="138">
        <f>'Truck Diversion (No Build)- Dry'!I63-'Barge (Build) - Dry'!I74</f>
        <v>713324.24024963821</v>
      </c>
      <c r="Y45" s="138">
        <f>'Truck Diversion (No Build)- Dry'!K63</f>
        <v>56059.833741661358</v>
      </c>
      <c r="Z45" s="16">
        <f>'Truck Diversion (No Build)- Dry'!AA63-'Barge (Build) - Dry'!AE74</f>
        <v>22395.065381527518</v>
      </c>
      <c r="AA45" s="16">
        <f>'Truck Diversion (No Build)- Dry'!AC63-'Truck Diversion (No Build)- Dry'!AA63</f>
        <v>289268.74210697261</v>
      </c>
      <c r="AB45" s="16">
        <f>'Truck Diversion (No Build)- Dry'!T63-'Barge (Build) - Dry'!X74</f>
        <v>307137.39610711514</v>
      </c>
      <c r="AC45" s="138">
        <f>AC19*VLOOKUP($A45,NPV!$B$3:$C$44,2,0)</f>
        <v>-20906.793219770221</v>
      </c>
      <c r="AD45" s="16">
        <f t="shared" si="21"/>
        <v>1577719.7979355946</v>
      </c>
      <c r="AE45" s="8"/>
      <c r="AF45" s="16">
        <v>0</v>
      </c>
      <c r="AH45" s="16">
        <f t="shared" si="22"/>
        <v>2385739.8427668423</v>
      </c>
      <c r="AI45" s="16">
        <f t="shared" si="23"/>
        <v>1877658.8143548798</v>
      </c>
    </row>
    <row r="46" spans="1:35" x14ac:dyDescent="0.25">
      <c r="A46" s="5">
        <f t="shared" si="24"/>
        <v>2043</v>
      </c>
      <c r="B46" s="9"/>
      <c r="C46" s="16">
        <f>'Barge - Liquid'!M93-'Barge - Liquid'!M120</f>
        <v>56194.786586231996</v>
      </c>
      <c r="D46" s="16">
        <f>'Barge - Liquid'!G93-'Barge - Liquid'!G120</f>
        <v>158011.71390608186</v>
      </c>
      <c r="E46" s="16">
        <f>'Barge - Liquid'!K93-'Barge - Liquid'!K120</f>
        <v>10139.08497564026</v>
      </c>
      <c r="F46" s="16">
        <f>'Barge - Liquid'!O93</f>
        <v>66574.896025047972</v>
      </c>
      <c r="G46" s="16">
        <f t="shared" si="16"/>
        <v>290920.48149300209</v>
      </c>
      <c r="H46" s="145"/>
      <c r="I46" s="16">
        <f>'Truck Diversion (No Build)- Dry'!G39</f>
        <v>1313311.250459871</v>
      </c>
      <c r="J46" s="16">
        <f>'Rail Diversion (No Build) - Dry'!H56</f>
        <v>178739.18489879734</v>
      </c>
      <c r="K46" s="16">
        <f>'Barge (Build) - Dry'!G75</f>
        <v>1236882.5430041531</v>
      </c>
      <c r="L46" s="138">
        <f t="shared" si="17"/>
        <v>255167.89235451538</v>
      </c>
      <c r="M46" s="138">
        <f>'Truck Diversion (No Build)- Dry'!I39-'Barge (Build) - Dry'!I75</f>
        <v>603794.03191662242</v>
      </c>
      <c r="N46" s="138">
        <f>'Truck Diversion (No Build)- Dry'!K39</f>
        <v>49746.638274995115</v>
      </c>
      <c r="O46" s="16">
        <f>('Truck Diversion (No Build)- Dry'!AA39+'Rail Diversion (No Build) - Dry'!AB56)-'Barge (Build) - Dry'!AE75</f>
        <v>21161.731440917392</v>
      </c>
      <c r="P46" s="16">
        <f>'Truck Diversion (No Build)- Dry'!AC39-'Truck Diversion (No Build)- Dry'!AA39</f>
        <v>256692.65349897475</v>
      </c>
      <c r="Q46" s="16">
        <f>('Truck Diversion (No Build)- Dry'!T39+'Rail Diversion (No Build) - Dry'!S56)-'Barge (Build) - Dry'!X75</f>
        <v>852416.43981916388</v>
      </c>
      <c r="R46" s="138">
        <f>R20*VLOOKUP($A46,NPV!$B$3:$C$44,2,0)</f>
        <v>-20278.169951280524</v>
      </c>
      <c r="S46" s="16">
        <f t="shared" si="18"/>
        <v>2018701.2173539083</v>
      </c>
      <c r="U46" s="16">
        <f>'Truck Diversion (No Build)- Dry'!G64</f>
        <v>1435479.738874743</v>
      </c>
      <c r="V46" s="16">
        <f t="shared" si="19"/>
        <v>1236882.5430041531</v>
      </c>
      <c r="W46" s="138">
        <f t="shared" si="20"/>
        <v>198597.19587058993</v>
      </c>
      <c r="X46" s="138">
        <f>'Truck Diversion (No Build)- Dry'!I64-'Barge (Build) - Dry'!I75</f>
        <v>691876.08171642886</v>
      </c>
      <c r="Y46" s="138">
        <f>'Truck Diversion (No Build)- Dry'!K64</f>
        <v>54374.2325331342</v>
      </c>
      <c r="Z46" s="16">
        <f>'Truck Diversion (No Build)- Dry'!AA64-'Barge (Build) - Dry'!AE75</f>
        <v>21721.692901578579</v>
      </c>
      <c r="AA46" s="16">
        <f>'Truck Diversion (No Build)- Dry'!AC64-'Truck Diversion (No Build)- Dry'!AA64</f>
        <v>280571.03987097245</v>
      </c>
      <c r="AB46" s="16">
        <f>'Truck Diversion (No Build)- Dry'!T64-'Barge (Build) - Dry'!X75</f>
        <v>298560.77377139998</v>
      </c>
      <c r="AC46" s="138">
        <f>AC20*VLOOKUP($A46,NPV!$B$3:$C$44,2,0)</f>
        <v>-20278.169951280524</v>
      </c>
      <c r="AD46" s="16">
        <f t="shared" si="21"/>
        <v>1525422.8467128235</v>
      </c>
      <c r="AE46" s="8"/>
      <c r="AF46" s="16">
        <v>0</v>
      </c>
      <c r="AH46" s="16">
        <f t="shared" si="22"/>
        <v>2309621.6988469106</v>
      </c>
      <c r="AI46" s="16">
        <f t="shared" si="23"/>
        <v>1816343.3282058255</v>
      </c>
    </row>
    <row r="47" spans="1:35" x14ac:dyDescent="0.25">
      <c r="A47" s="5">
        <f t="shared" si="24"/>
        <v>2044</v>
      </c>
      <c r="B47" s="9"/>
      <c r="C47" s="16">
        <f>'Barge - Liquid'!M94-'Barge - Liquid'!M121</f>
        <v>54505.127629710965</v>
      </c>
      <c r="D47" s="16">
        <f>'Barge - Liquid'!G94-'Barge - Liquid'!G121</f>
        <v>153260.63424450252</v>
      </c>
      <c r="E47" s="16">
        <f>'Barge - Liquid'!K94-'Barge - Liquid'!K121</f>
        <v>9834.2240306889071</v>
      </c>
      <c r="F47" s="16">
        <f>'Barge - Liquid'!O94</f>
        <v>64573.129025264781</v>
      </c>
      <c r="G47" s="16">
        <f t="shared" si="16"/>
        <v>282173.11493016715</v>
      </c>
      <c r="H47" s="145"/>
      <c r="I47" s="16">
        <f>'Truck Diversion (No Build)- Dry'!G40</f>
        <v>1273822.7453539004</v>
      </c>
      <c r="J47" s="16">
        <f>'Rail Diversion (No Build) - Dry'!H57</f>
        <v>173364.8738106667</v>
      </c>
      <c r="K47" s="16">
        <f>'Barge (Build) - Dry'!G76</f>
        <v>1205208.6785936228</v>
      </c>
      <c r="L47" s="138">
        <f t="shared" si="17"/>
        <v>241978.94057094422</v>
      </c>
      <c r="M47" s="138">
        <f>'Truck Diversion (No Build)- Dry'!I40-'Barge (Build) - Dry'!I76</f>
        <v>585639.21621398896</v>
      </c>
      <c r="N47" s="138">
        <f>'Truck Diversion (No Build)- Dry'!K40</f>
        <v>48250.861566435626</v>
      </c>
      <c r="O47" s="16">
        <f>('Truck Diversion (No Build)- Dry'!AA40+'Rail Diversion (No Build) - Dry'!AB57)-'Barge (Build) - Dry'!AE76</f>
        <v>20525.442716699705</v>
      </c>
      <c r="P47" s="16">
        <f>'Truck Diversion (No Build)- Dry'!AC40-'Truck Diversion (No Build)- Dry'!AA40</f>
        <v>248974.44568280777</v>
      </c>
      <c r="Q47" s="16">
        <f>('Truck Diversion (No Build)- Dry'!T40+'Rail Diversion (No Build) - Dry'!S57)-'Barge (Build) - Dry'!X76</f>
        <v>827874.06064395956</v>
      </c>
      <c r="R47" s="138">
        <f>R21*VLOOKUP($A47,NPV!$B$3:$C$44,2,0)</f>
        <v>-19668.448061377814</v>
      </c>
      <c r="S47" s="16">
        <f t="shared" si="18"/>
        <v>1953574.519333458</v>
      </c>
      <c r="U47" s="16">
        <f>'Truck Diversion (No Build)- Dry'!G65</f>
        <v>1392317.8844565889</v>
      </c>
      <c r="V47" s="16">
        <f t="shared" si="19"/>
        <v>1205208.6785936228</v>
      </c>
      <c r="W47" s="138">
        <f t="shared" si="20"/>
        <v>187109.20586296613</v>
      </c>
      <c r="X47" s="138">
        <f>'Truck Diversion (No Build)- Dry'!I65-'Barge (Build) - Dry'!I76</f>
        <v>671072.82416724437</v>
      </c>
      <c r="Y47" s="138">
        <f>'Truck Diversion (No Build)- Dry'!K65</f>
        <v>52739.313805173821</v>
      </c>
      <c r="Z47" s="16">
        <f>'Truck Diversion (No Build)- Dry'!AA65-'Barge (Build) - Dry'!AE76</f>
        <v>21068.567314819189</v>
      </c>
      <c r="AA47" s="16">
        <f>'Truck Diversion (No Build)- Dry'!AC65-'Truck Diversion (No Build)- Dry'!AA65</f>
        <v>272134.85923469689</v>
      </c>
      <c r="AB47" s="16">
        <f>'Truck Diversion (No Build)- Dry'!T65-'Barge (Build) - Dry'!X76</f>
        <v>290206.69877587486</v>
      </c>
      <c r="AC47" s="138">
        <f>AC21*VLOOKUP($A47,NPV!$B$3:$C$44,2,0)</f>
        <v>-19668.448061377814</v>
      </c>
      <c r="AD47" s="16">
        <f t="shared" si="21"/>
        <v>1474663.0210993977</v>
      </c>
      <c r="AE47" s="8"/>
      <c r="AF47" s="16">
        <v>0</v>
      </c>
      <c r="AH47" s="16">
        <f t="shared" si="22"/>
        <v>2235747.6342636254</v>
      </c>
      <c r="AI47" s="16">
        <f t="shared" si="23"/>
        <v>1756836.1360295648</v>
      </c>
    </row>
    <row r="48" spans="1:35" x14ac:dyDescent="0.25">
      <c r="A48" s="5">
        <f t="shared" si="24"/>
        <v>2045</v>
      </c>
      <c r="B48" s="9"/>
      <c r="C48" s="16">
        <f>'Barge - Liquid'!M95-'Barge - Liquid'!M122</f>
        <v>52866.273161698307</v>
      </c>
      <c r="D48" s="16">
        <f>'Barge - Liquid'!G95-'Barge - Liquid'!G122</f>
        <v>148652.40954849892</v>
      </c>
      <c r="E48" s="16">
        <f>'Barge - Liquid'!K95-'Barge - Liquid'!K122</f>
        <v>9538.5296126953544</v>
      </c>
      <c r="F48" s="16">
        <f>'Barge - Liquid'!O95</f>
        <v>62631.550945940617</v>
      </c>
      <c r="G48" s="16">
        <f t="shared" si="16"/>
        <v>273688.76326883322</v>
      </c>
      <c r="H48" s="145"/>
      <c r="I48" s="16">
        <f>'Truck Diversion (No Build)- Dry'!G41</f>
        <v>1235521.5764829295</v>
      </c>
      <c r="J48" s="16">
        <f>'Rail Diversion (No Build) - Dry'!H58</f>
        <v>168152.1569453605</v>
      </c>
      <c r="K48" s="16">
        <f>'Barge (Build) - Dry'!G77</f>
        <v>1174487.1806202661</v>
      </c>
      <c r="L48" s="138">
        <f t="shared" si="17"/>
        <v>229186.55280802399</v>
      </c>
      <c r="M48" s="138">
        <f>'Truck Diversion (No Build)- Dry'!I41-'Barge (Build) - Dry'!I77</f>
        <v>568030.27760813665</v>
      </c>
      <c r="N48" s="138">
        <f>'Truck Diversion (No Build)- Dry'!K41</f>
        <v>46800.059715262483</v>
      </c>
      <c r="O48" s="16">
        <f>('Truck Diversion (No Build)- Dry'!AA41+'Rail Diversion (No Build) - Dry'!AB58)-'Barge (Build) - Dry'!AE77</f>
        <v>19908.285855188846</v>
      </c>
      <c r="P48" s="16">
        <f>'Truck Diversion (No Build)- Dry'!AC41-'Truck Diversion (No Build)- Dry'!AA41</f>
        <v>241488.30813075436</v>
      </c>
      <c r="Q48" s="16">
        <f>('Truck Diversion (No Build)- Dry'!T41+'Rail Diversion (No Build) - Dry'!S58)-'Barge (Build) - Dry'!X77</f>
        <v>804026.30097269919</v>
      </c>
      <c r="R48" s="138">
        <f>R22*VLOOKUP($A48,NPV!$B$3:$C$44,2,0)</f>
        <v>-19077.059225390702</v>
      </c>
      <c r="S48" s="16">
        <f t="shared" si="18"/>
        <v>1890362.7258646749</v>
      </c>
      <c r="U48" s="16">
        <f>'Truck Diversion (No Build)- Dry'!G66</f>
        <v>1350453.8161557603</v>
      </c>
      <c r="V48" s="16">
        <f t="shared" si="19"/>
        <v>1174487.1806202661</v>
      </c>
      <c r="W48" s="138">
        <f t="shared" si="20"/>
        <v>175966.63553549419</v>
      </c>
      <c r="X48" s="138">
        <f>'Truck Diversion (No Build)- Dry'!I66-'Barge (Build) - Dry'!I77</f>
        <v>650895.07678685198</v>
      </c>
      <c r="Y48" s="138">
        <f>'Truck Diversion (No Build)- Dry'!K66</f>
        <v>51153.553642263643</v>
      </c>
      <c r="Z48" s="16">
        <f>'Truck Diversion (No Build)- Dry'!AA66-'Barge (Build) - Dry'!AE77</f>
        <v>20435.079839785827</v>
      </c>
      <c r="AA48" s="16">
        <f>'Truck Diversion (No Build)- Dry'!AC66-'Truck Diversion (No Build)- Dry'!AA66</f>
        <v>263952.33679408039</v>
      </c>
      <c r="AB48" s="16">
        <f>'Truck Diversion (No Build)- Dry'!T66-'Barge (Build) - Dry'!X77</f>
        <v>282069.61210820673</v>
      </c>
      <c r="AC48" s="138">
        <f>AC22*VLOOKUP($A48,NPV!$B$3:$C$44,2,0)</f>
        <v>-19077.059225390702</v>
      </c>
      <c r="AD48" s="16">
        <f t="shared" si="21"/>
        <v>1425395.235481292</v>
      </c>
      <c r="AE48" s="8"/>
      <c r="AF48" s="16">
        <v>0</v>
      </c>
      <c r="AH48" s="16">
        <f t="shared" si="22"/>
        <v>2164051.4891335079</v>
      </c>
      <c r="AI48" s="16">
        <f t="shared" si="23"/>
        <v>1699083.9987501253</v>
      </c>
    </row>
    <row r="49" spans="1:35" x14ac:dyDescent="0.25">
      <c r="A49" s="5">
        <f t="shared" si="24"/>
        <v>2046</v>
      </c>
      <c r="B49" s="9"/>
      <c r="C49" s="16">
        <f>'Barge - Liquid'!M96-'Barge - Liquid'!M123</f>
        <v>51276.6955981555</v>
      </c>
      <c r="D49" s="16">
        <f>'Barge - Liquid'!G96-'Barge - Liquid'!G123</f>
        <v>144182.74446993112</v>
      </c>
      <c r="E49" s="16">
        <f>'Barge - Liquid'!K96-'Barge - Liquid'!K123</f>
        <v>9251.7261034872499</v>
      </c>
      <c r="F49" s="16">
        <f>'Barge - Liquid'!O96</f>
        <v>60748.352032920106</v>
      </c>
      <c r="G49" s="16">
        <f t="shared" si="16"/>
        <v>265459.51820449397</v>
      </c>
      <c r="H49" s="145"/>
      <c r="I49" s="16">
        <f>'Truck Diversion (No Build)- Dry'!G42</f>
        <v>1198372.0431454217</v>
      </c>
      <c r="J49" s="16">
        <f>'Rail Diversion (No Build) - Dry'!H59</f>
        <v>163096.1755047144</v>
      </c>
      <c r="K49" s="16">
        <f>'Barge (Build) - Dry'!G78</f>
        <v>1144689.4134298139</v>
      </c>
      <c r="L49" s="138">
        <f t="shared" si="17"/>
        <v>216778.80522032222</v>
      </c>
      <c r="M49" s="138">
        <f>'Truck Diversion (No Build)- Dry'!I42-'Barge (Build) - Dry'!I78</f>
        <v>550950.80272370204</v>
      </c>
      <c r="N49" s="138">
        <f>'Truck Diversion (No Build)- Dry'!K42</f>
        <v>45392.880422175062</v>
      </c>
      <c r="O49" s="16">
        <f>('Truck Diversion (No Build)- Dry'!AA42+'Rail Diversion (No Build) - Dry'!AB59)-'Barge (Build) - Dry'!AE78</f>
        <v>19309.685601541074</v>
      </c>
      <c r="P49" s="16">
        <f>'Truck Diversion (No Build)- Dry'!AC42-'Truck Diversion (No Build)- Dry'!AA42</f>
        <v>234227.26297842327</v>
      </c>
      <c r="Q49" s="16">
        <f>('Truck Diversion (No Build)- Dry'!T42+'Rail Diversion (No Build) - Dry'!S59)-'Barge (Build) - Dry'!X78</f>
        <v>780853.55551470397</v>
      </c>
      <c r="R49" s="138">
        <f>R23*VLOOKUP($A49,NPV!$B$3:$C$44,2,0)</f>
        <v>-18503.452206974496</v>
      </c>
      <c r="S49" s="16">
        <f t="shared" si="18"/>
        <v>1829009.5402538932</v>
      </c>
      <c r="U49" s="16">
        <f>'Truck Diversion (No Build)- Dry'!G67</f>
        <v>1309848.5122752285</v>
      </c>
      <c r="V49" s="16">
        <f t="shared" si="19"/>
        <v>1144689.4134298139</v>
      </c>
      <c r="W49" s="138">
        <f t="shared" si="20"/>
        <v>165159.09884541458</v>
      </c>
      <c r="X49" s="138">
        <f>'Truck Diversion (No Build)- Dry'!I67-'Barge (Build) - Dry'!I78</f>
        <v>631324.03180102049</v>
      </c>
      <c r="Y49" s="138">
        <f>'Truck Diversion (No Build)- Dry'!K67</f>
        <v>49615.473949819258</v>
      </c>
      <c r="Z49" s="16">
        <f>'Truck Diversion (No Build)- Dry'!AA67-'Barge (Build) - Dry'!AE78</f>
        <v>19820.639999792271</v>
      </c>
      <c r="AA49" s="16">
        <f>'Truck Diversion (No Build)- Dry'!AC67-'Truck Diversion (No Build)- Dry'!AA67</f>
        <v>256015.84558106732</v>
      </c>
      <c r="AB49" s="16">
        <f>'Truck Diversion (No Build)- Dry'!T67-'Barge (Build) - Dry'!X78</f>
        <v>274144.09107603831</v>
      </c>
      <c r="AC49" s="138">
        <f>AC23*VLOOKUP($A49,NPV!$B$3:$C$44,2,0)</f>
        <v>-18503.452206974496</v>
      </c>
      <c r="AD49" s="16">
        <f t="shared" si="21"/>
        <v>1377575.7290461778</v>
      </c>
      <c r="AE49" s="8"/>
      <c r="AF49" s="16">
        <v>0</v>
      </c>
      <c r="AH49" s="16">
        <f t="shared" si="22"/>
        <v>2094469.0584583872</v>
      </c>
      <c r="AI49" s="16">
        <f t="shared" si="23"/>
        <v>1643035.2472506717</v>
      </c>
    </row>
    <row r="50" spans="1:35" x14ac:dyDescent="0.25">
      <c r="A50" s="5">
        <f t="shared" si="24"/>
        <v>2047</v>
      </c>
      <c r="B50" s="9"/>
      <c r="C50" s="16">
        <f>'Barge - Liquid'!M97-'Barge - Liquid'!M124</f>
        <v>49734.913286280796</v>
      </c>
      <c r="D50" s="16">
        <f>'Barge - Liquid'!G97-'Barge - Liquid'!G124</f>
        <v>139847.47281273629</v>
      </c>
      <c r="E50" s="16">
        <f>'Barge - Liquid'!K97-'Barge - Liquid'!K124</f>
        <v>8973.5461721505781</v>
      </c>
      <c r="F50" s="16">
        <f>'Barge - Liquid'!O97</f>
        <v>58921.776947546168</v>
      </c>
      <c r="G50" s="16">
        <f t="shared" si="16"/>
        <v>257477.70921871383</v>
      </c>
      <c r="H50" s="145"/>
      <c r="I50" s="16">
        <f>'Truck Diversion (No Build)- Dry'!G43</f>
        <v>1162339.5180847931</v>
      </c>
      <c r="J50" s="16">
        <f>'Rail Diversion (No Build) - Dry'!H60</f>
        <v>158192.21678439804</v>
      </c>
      <c r="K50" s="16">
        <f>'Barge (Build) - Dry'!G79</f>
        <v>1115787.6023818485</v>
      </c>
      <c r="L50" s="138">
        <f t="shared" si="17"/>
        <v>204744.13248734269</v>
      </c>
      <c r="M50" s="138">
        <f>'Truck Diversion (No Build)- Dry'!I43-'Barge (Build) - Dry'!I79</f>
        <v>534384.87170097185</v>
      </c>
      <c r="N50" s="138">
        <f>'Truck Diversion (No Build)- Dry'!K43</f>
        <v>44028.012048666402</v>
      </c>
      <c r="O50" s="16">
        <f>('Truck Diversion (No Build)- Dry'!AA43+'Rail Diversion (No Build) - Dry'!AB60)-'Barge (Build) - Dry'!AE79</f>
        <v>18729.083997615013</v>
      </c>
      <c r="P50" s="16">
        <f>'Truck Diversion (No Build)- Dry'!AC43-'Truck Diversion (No Build)- Dry'!AA43</f>
        <v>227184.54217111861</v>
      </c>
      <c r="Q50" s="16">
        <f>('Truck Diversion (No Build)- Dry'!T43+'Rail Diversion (No Build) - Dry'!S60)-'Barge (Build) - Dry'!X79</f>
        <v>757841.62879723299</v>
      </c>
      <c r="R50" s="138">
        <f>R24*VLOOKUP($A50,NPV!$B$3:$C$44,2,0)</f>
        <v>-17947.09234430116</v>
      </c>
      <c r="S50" s="16">
        <f t="shared" si="18"/>
        <v>1768965.1788586464</v>
      </c>
      <c r="U50" s="16">
        <f>'Truck Diversion (No Build)- Dry'!G68</f>
        <v>1270464.1244182622</v>
      </c>
      <c r="V50" s="16">
        <f t="shared" si="19"/>
        <v>1115787.6023818485</v>
      </c>
      <c r="W50" s="138">
        <f t="shared" si="20"/>
        <v>154676.52203641366</v>
      </c>
      <c r="X50" s="138">
        <f>'Truck Diversion (No Build)- Dry'!I68-'Barge (Build) - Dry'!I79</f>
        <v>612341.44694570359</v>
      </c>
      <c r="Y50" s="138">
        <f>'Truck Diversion (No Build)- Dry'!K68</f>
        <v>48123.641076449327</v>
      </c>
      <c r="Z50" s="16">
        <f>'Truck Diversion (No Build)- Dry'!AA68-'Barge (Build) - Dry'!AE79</f>
        <v>19224.675072543425</v>
      </c>
      <c r="AA50" s="16">
        <f>'Truck Diversion (No Build)- Dry'!AC68-'Truck Diversion (No Build)- Dry'!AA68</f>
        <v>248317.98795447848</v>
      </c>
      <c r="AB50" s="16">
        <f>'Truck Diversion (No Build)- Dry'!T68-'Barge (Build) - Dry'!X79</f>
        <v>265929.69986928324</v>
      </c>
      <c r="AC50" s="138">
        <f>AC24*VLOOKUP($A50,NPV!$B$3:$C$44,2,0)</f>
        <v>-17947.09234430116</v>
      </c>
      <c r="AD50" s="16">
        <f t="shared" si="21"/>
        <v>1330666.8806105708</v>
      </c>
      <c r="AE50" s="8"/>
      <c r="AF50" s="16">
        <f>((50-20)/50)*'Capital Costs'!$B$3*VLOOKUP($A50,NPV!$B$3:$C$44,2,0)</f>
        <v>5282749.4732989389</v>
      </c>
      <c r="AH50" s="16">
        <f t="shared" si="22"/>
        <v>7309192.3613762995</v>
      </c>
      <c r="AI50" s="16">
        <f t="shared" si="23"/>
        <v>6870894.0631282236</v>
      </c>
    </row>
    <row r="51" spans="1:35" x14ac:dyDescent="0.25">
      <c r="A51" s="11" t="s">
        <v>45</v>
      </c>
      <c r="B51" s="38"/>
      <c r="C51" s="39">
        <f t="shared" ref="C51:D51" si="25">SUBTOTAL(9,C31:C50)</f>
        <v>1350073.0082114029</v>
      </c>
      <c r="D51" s="39">
        <f t="shared" si="25"/>
        <v>3796212.4760180144</v>
      </c>
      <c r="E51" s="39">
        <f>SUBTOTAL(9,E31:E50)</f>
        <v>243590.30054448926</v>
      </c>
      <c r="F51" s="39">
        <f t="shared" ref="F51" si="26">SUBTOTAL(9,F31:F50)</f>
        <v>1599453.8925772728</v>
      </c>
      <c r="G51" s="147">
        <f t="shared" ref="G51" si="27">SUBTOTAL(9,G31:G50)</f>
        <v>6989329.6773511786</v>
      </c>
      <c r="H51" s="40"/>
      <c r="I51" s="148">
        <f t="shared" ref="I51:Q51" si="28">SUBTOTAL(9,I31:I50)</f>
        <v>31552145.284962207</v>
      </c>
      <c r="J51" s="39">
        <f t="shared" si="28"/>
        <v>4294187.4807421332</v>
      </c>
      <c r="K51" s="39">
        <f t="shared" si="28"/>
        <v>28977505.512725558</v>
      </c>
      <c r="L51" s="139">
        <f t="shared" si="28"/>
        <v>6868827.2529787803</v>
      </c>
      <c r="M51" s="139">
        <f t="shared" si="28"/>
        <v>14506079.202896837</v>
      </c>
      <c r="N51" s="139">
        <f t="shared" si="28"/>
        <v>1195157.0183697804</v>
      </c>
      <c r="O51" s="39">
        <f t="shared" si="28"/>
        <v>508408.05991068459</v>
      </c>
      <c r="P51" s="39">
        <f t="shared" si="28"/>
        <v>6167010.2147880662</v>
      </c>
      <c r="Q51" s="39">
        <f t="shared" si="28"/>
        <v>20278921.991237484</v>
      </c>
      <c r="R51" s="139">
        <f t="shared" ref="R51" si="29">SUBTOTAL(9,R31:R50)</f>
        <v>-487180.60108897858</v>
      </c>
      <c r="S51" s="39">
        <f>SUBTOTAL(9,S31:S50)</f>
        <v>49037223.139092661</v>
      </c>
      <c r="T51" s="1"/>
      <c r="U51" s="39">
        <f t="shared" ref="U51:X51" si="30">SUBTOTAL(9,U31:U50)</f>
        <v>34487228.567284279</v>
      </c>
      <c r="V51" s="39">
        <f t="shared" si="30"/>
        <v>28977505.512725558</v>
      </c>
      <c r="W51" s="139">
        <f t="shared" si="30"/>
        <v>5509723.0545587158</v>
      </c>
      <c r="X51" s="139">
        <f t="shared" si="30"/>
        <v>16622239.885528322</v>
      </c>
      <c r="Y51" s="139">
        <f t="shared" ref="Y51:AD51" si="31">SUBTOTAL(9,Y31:Y50)</f>
        <v>1306334.4154274345</v>
      </c>
      <c r="Z51" s="39">
        <f t="shared" si="31"/>
        <v>521861.06684607384</v>
      </c>
      <c r="AA51" s="39">
        <f t="shared" si="31"/>
        <v>6740685.5836055614</v>
      </c>
      <c r="AB51" s="39">
        <f t="shared" si="31"/>
        <v>7042745.303409786</v>
      </c>
      <c r="AC51" s="139">
        <f t="shared" si="31"/>
        <v>-487180.60108897858</v>
      </c>
      <c r="AD51" s="39">
        <f t="shared" si="31"/>
        <v>37256408.708286926</v>
      </c>
      <c r="AE51" s="40"/>
      <c r="AF51" s="39">
        <f t="shared" ref="AF51" si="32">SUBTOTAL(9,AF31:AF50)</f>
        <v>5282749.4732989389</v>
      </c>
      <c r="AG51" s="1"/>
      <c r="AH51" s="39">
        <f t="shared" si="22"/>
        <v>61309302.289742775</v>
      </c>
      <c r="AI51" s="39">
        <f t="shared" si="23"/>
        <v>49528487.85893704</v>
      </c>
    </row>
    <row r="52" spans="1:35" x14ac:dyDescent="0.25">
      <c r="H52" s="154"/>
      <c r="AD52" s="8"/>
    </row>
    <row r="53" spans="1:35" x14ac:dyDescent="0.25">
      <c r="S53" s="8"/>
      <c r="AD53" s="8"/>
      <c r="AG53" s="151"/>
      <c r="AH53" s="8"/>
      <c r="AI53" s="8"/>
    </row>
    <row r="54" spans="1:35" x14ac:dyDescent="0.25">
      <c r="R54" s="154"/>
    </row>
  </sheetData>
  <mergeCells count="9">
    <mergeCell ref="AK29:AL29"/>
    <mergeCell ref="AN29:AO29"/>
    <mergeCell ref="C3:G3"/>
    <mergeCell ref="AX3:AY3"/>
    <mergeCell ref="C29:G29"/>
    <mergeCell ref="I3:S3"/>
    <mergeCell ref="U3:AD3"/>
    <mergeCell ref="I29:S29"/>
    <mergeCell ref="U29:AD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76904-E1EC-4E86-801D-83A7597FFC50}">
  <dimension ref="A2:E87"/>
  <sheetViews>
    <sheetView workbookViewId="0"/>
  </sheetViews>
  <sheetFormatPr defaultRowHeight="15" x14ac:dyDescent="0.25"/>
  <cols>
    <col min="1" max="1" width="50" customWidth="1"/>
    <col min="2" max="2" width="18.140625" customWidth="1"/>
    <col min="3" max="3" width="17.140625" customWidth="1"/>
    <col min="4" max="4" width="51.42578125" customWidth="1"/>
    <col min="5" max="5" width="16.28515625" bestFit="1" customWidth="1"/>
    <col min="6" max="6" width="18.5703125" bestFit="1" customWidth="1"/>
    <col min="7" max="25" width="12.5703125" bestFit="1" customWidth="1"/>
  </cols>
  <sheetData>
    <row r="2" spans="1:5" ht="20.25" thickBot="1" x14ac:dyDescent="0.35">
      <c r="A2" s="19" t="s">
        <v>74</v>
      </c>
    </row>
    <row r="3" spans="1:5" ht="15.75" thickTop="1" x14ac:dyDescent="0.25"/>
    <row r="4" spans="1:5" x14ac:dyDescent="0.25">
      <c r="A4" s="30" t="s">
        <v>75</v>
      </c>
      <c r="B4" s="30" t="s">
        <v>76</v>
      </c>
      <c r="C4" s="30" t="s">
        <v>77</v>
      </c>
    </row>
    <row r="5" spans="1:5" x14ac:dyDescent="0.25">
      <c r="A5" s="31" t="s">
        <v>78</v>
      </c>
      <c r="B5" s="2">
        <v>3.1E-2</v>
      </c>
      <c r="C5" s="32" t="s">
        <v>79</v>
      </c>
    </row>
    <row r="6" spans="1:5" x14ac:dyDescent="0.25">
      <c r="A6" s="31" t="s">
        <v>80</v>
      </c>
      <c r="B6" s="58">
        <v>0.02</v>
      </c>
      <c r="C6" s="32" t="s">
        <v>79</v>
      </c>
    </row>
    <row r="7" spans="1:5" x14ac:dyDescent="0.25">
      <c r="A7" s="31" t="s">
        <v>81</v>
      </c>
      <c r="B7" s="3">
        <f>3.174-0.361-0.244</f>
        <v>2.569</v>
      </c>
      <c r="C7" s="92" t="s">
        <v>82</v>
      </c>
    </row>
    <row r="8" spans="1:5" x14ac:dyDescent="0.25">
      <c r="A8" s="33" t="s">
        <v>83</v>
      </c>
      <c r="B8" s="36">
        <f>60*60</f>
        <v>3600</v>
      </c>
      <c r="C8" s="34"/>
    </row>
    <row r="9" spans="1:5" x14ac:dyDescent="0.25">
      <c r="A9" s="33" t="s">
        <v>84</v>
      </c>
      <c r="B9" s="36">
        <v>1000000</v>
      </c>
      <c r="C9" s="34"/>
    </row>
    <row r="10" spans="1:5" x14ac:dyDescent="0.25">
      <c r="A10" s="31" t="s">
        <v>85</v>
      </c>
      <c r="B10" s="58">
        <f>1/1000</f>
        <v>1E-3</v>
      </c>
      <c r="C10" s="31"/>
    </row>
    <row r="11" spans="1:5" x14ac:dyDescent="0.25">
      <c r="A11" s="31" t="s">
        <v>86</v>
      </c>
      <c r="B11" s="57">
        <f>1/1.1023</f>
        <v>0.9071940488070398</v>
      </c>
      <c r="C11" s="31"/>
    </row>
    <row r="13" spans="1:5" x14ac:dyDescent="0.25">
      <c r="A13" s="13" t="s">
        <v>87</v>
      </c>
      <c r="B13" s="14" t="s">
        <v>88</v>
      </c>
      <c r="D13" s="13" t="s">
        <v>89</v>
      </c>
      <c r="E13" s="14" t="s">
        <v>88</v>
      </c>
    </row>
    <row r="14" spans="1:5" x14ac:dyDescent="0.25">
      <c r="A14" s="5" t="s">
        <v>90</v>
      </c>
      <c r="B14" s="52">
        <v>8.5000000000000006E-2</v>
      </c>
      <c r="D14" s="5" t="s">
        <v>90</v>
      </c>
      <c r="E14" s="52">
        <v>0</v>
      </c>
    </row>
    <row r="15" spans="1:5" x14ac:dyDescent="0.25">
      <c r="A15" s="5" t="s">
        <v>91</v>
      </c>
      <c r="B15" s="53">
        <f>1-B14</f>
        <v>0.91500000000000004</v>
      </c>
      <c r="D15" s="5" t="s">
        <v>91</v>
      </c>
      <c r="E15" s="53">
        <f>1-E14</f>
        <v>1</v>
      </c>
    </row>
    <row r="17" spans="1:5" x14ac:dyDescent="0.25">
      <c r="A17" s="14" t="s">
        <v>92</v>
      </c>
      <c r="B17" s="14" t="s">
        <v>93</v>
      </c>
      <c r="C17" s="14" t="s">
        <v>94</v>
      </c>
      <c r="D17" s="14" t="s">
        <v>95</v>
      </c>
    </row>
    <row r="18" spans="1:5" x14ac:dyDescent="0.25">
      <c r="A18" s="5" t="s">
        <v>96</v>
      </c>
      <c r="B18" s="18">
        <f>102*2</f>
        <v>204</v>
      </c>
      <c r="C18" s="28">
        <f>(('Rail Diversion (No Build) - Dry'!C42+'Rail Diversion (No Build) - Dry'!D42)*60)/(52)</f>
        <v>549.6</v>
      </c>
      <c r="D18" s="5" t="s">
        <v>97</v>
      </c>
    </row>
    <row r="19" spans="1:5" x14ac:dyDescent="0.25">
      <c r="A19" s="5" t="s">
        <v>98</v>
      </c>
      <c r="B19" s="18">
        <f>70.4*2</f>
        <v>140.80000000000001</v>
      </c>
      <c r="C19" s="28">
        <f>(90+20)*2</f>
        <v>220</v>
      </c>
      <c r="D19" s="5" t="s">
        <v>99</v>
      </c>
    </row>
    <row r="20" spans="1:5" x14ac:dyDescent="0.25">
      <c r="A20" s="5" t="s">
        <v>100</v>
      </c>
      <c r="B20" s="28">
        <f>65.5944285*2</f>
        <v>131.18885700000001</v>
      </c>
      <c r="C20" s="28">
        <f>2*9*60</f>
        <v>1080</v>
      </c>
      <c r="D20" s="5" t="s">
        <v>101</v>
      </c>
    </row>
    <row r="21" spans="1:5" x14ac:dyDescent="0.25">
      <c r="B21" s="29"/>
      <c r="C21" s="29"/>
    </row>
    <row r="22" spans="1:5" x14ac:dyDescent="0.25">
      <c r="A22" s="11" t="s">
        <v>380</v>
      </c>
      <c r="B22" s="25">
        <f>7349206/20</f>
        <v>367460.3</v>
      </c>
      <c r="C22" s="54"/>
      <c r="E22" s="9"/>
    </row>
    <row r="23" spans="1:5" x14ac:dyDescent="0.25">
      <c r="A23" s="11" t="s">
        <v>381</v>
      </c>
      <c r="B23" s="25">
        <f>8569095/20</f>
        <v>428454.75</v>
      </c>
      <c r="C23" s="54"/>
      <c r="E23" s="9"/>
    </row>
    <row r="24" spans="1:5" x14ac:dyDescent="0.25">
      <c r="A24" s="11" t="s">
        <v>45</v>
      </c>
      <c r="B24" s="37">
        <f>B22+B23</f>
        <v>795915.05</v>
      </c>
      <c r="C24" s="42"/>
    </row>
    <row r="25" spans="1:5" x14ac:dyDescent="0.25">
      <c r="A25" s="1"/>
      <c r="B25" s="38"/>
      <c r="C25" s="42"/>
    </row>
    <row r="26" spans="1:5" x14ac:dyDescent="0.25">
      <c r="C26" s="42"/>
    </row>
    <row r="27" spans="1:5" x14ac:dyDescent="0.25">
      <c r="C27" s="42"/>
    </row>
    <row r="28" spans="1:5" x14ac:dyDescent="0.25">
      <c r="C28" s="42"/>
    </row>
    <row r="30" spans="1:5" ht="20.25" thickBot="1" x14ac:dyDescent="0.35">
      <c r="A30" s="19" t="s">
        <v>102</v>
      </c>
    </row>
    <row r="31" spans="1:5" ht="15.75" thickTop="1" x14ac:dyDescent="0.25"/>
    <row r="32" spans="1:5" ht="30" x14ac:dyDescent="0.25">
      <c r="A32" s="14" t="s">
        <v>103</v>
      </c>
      <c r="B32" s="15" t="s">
        <v>104</v>
      </c>
      <c r="C32" s="14" t="s">
        <v>77</v>
      </c>
    </row>
    <row r="33" spans="1:3" x14ac:dyDescent="0.25">
      <c r="A33" s="5" t="s">
        <v>105</v>
      </c>
      <c r="B33" s="17">
        <v>9100</v>
      </c>
      <c r="C33" s="5" t="s">
        <v>106</v>
      </c>
    </row>
    <row r="34" spans="1:3" x14ac:dyDescent="0.25">
      <c r="A34" s="5" t="s">
        <v>107</v>
      </c>
      <c r="B34" s="17">
        <v>313000</v>
      </c>
      <c r="C34" s="5" t="s">
        <v>106</v>
      </c>
    </row>
    <row r="35" spans="1:3" x14ac:dyDescent="0.25">
      <c r="A35" s="5" t="s">
        <v>108</v>
      </c>
      <c r="B35" s="17">
        <v>14022900</v>
      </c>
      <c r="C35" s="5" t="s">
        <v>106</v>
      </c>
    </row>
    <row r="36" spans="1:3" x14ac:dyDescent="0.25">
      <c r="A36" s="181" t="s">
        <v>109</v>
      </c>
      <c r="B36" s="182"/>
      <c r="C36" s="183"/>
    </row>
    <row r="38" spans="1:3" x14ac:dyDescent="0.25">
      <c r="A38" s="184" t="s">
        <v>110</v>
      </c>
      <c r="B38" s="184"/>
      <c r="C38" s="14"/>
    </row>
    <row r="39" spans="1:3" ht="30" x14ac:dyDescent="0.25">
      <c r="A39" s="14" t="s">
        <v>111</v>
      </c>
      <c r="B39" s="15" t="s">
        <v>104</v>
      </c>
      <c r="C39" s="14" t="s">
        <v>77</v>
      </c>
    </row>
    <row r="40" spans="1:3" x14ac:dyDescent="0.25">
      <c r="A40" s="5" t="s">
        <v>112</v>
      </c>
      <c r="B40" s="17">
        <v>5000</v>
      </c>
      <c r="C40" s="5" t="s">
        <v>106</v>
      </c>
    </row>
    <row r="41" spans="1:3" x14ac:dyDescent="0.25">
      <c r="A41" s="5" t="s">
        <v>113</v>
      </c>
      <c r="B41" s="17">
        <v>111700</v>
      </c>
      <c r="C41" s="5" t="s">
        <v>106</v>
      </c>
    </row>
    <row r="42" spans="1:3" x14ac:dyDescent="0.25">
      <c r="A42" s="5" t="s">
        <v>114</v>
      </c>
      <c r="B42" s="17">
        <v>233800</v>
      </c>
      <c r="C42" s="5" t="s">
        <v>106</v>
      </c>
    </row>
    <row r="43" spans="1:3" x14ac:dyDescent="0.25">
      <c r="A43" s="5" t="s">
        <v>115</v>
      </c>
      <c r="B43" s="17">
        <v>1188200</v>
      </c>
      <c r="C43" s="5" t="s">
        <v>106</v>
      </c>
    </row>
    <row r="44" spans="1:3" x14ac:dyDescent="0.25">
      <c r="A44" s="5" t="s">
        <v>116</v>
      </c>
      <c r="B44" s="17">
        <v>12500000</v>
      </c>
      <c r="C44" s="5" t="s">
        <v>106</v>
      </c>
    </row>
    <row r="45" spans="1:3" x14ac:dyDescent="0.25">
      <c r="A45" s="5" t="s">
        <v>117</v>
      </c>
      <c r="B45" s="17">
        <v>217600</v>
      </c>
      <c r="C45" s="5" t="s">
        <v>106</v>
      </c>
    </row>
    <row r="46" spans="1:3" x14ac:dyDescent="0.25">
      <c r="A46" s="181" t="s">
        <v>118</v>
      </c>
      <c r="B46" s="182"/>
      <c r="C46" s="183"/>
    </row>
    <row r="48" spans="1:3" ht="24" customHeight="1" x14ac:dyDescent="0.25"/>
    <row r="80" spans="1:2" ht="20.25" thickBot="1" x14ac:dyDescent="0.35">
      <c r="A80" s="19" t="s">
        <v>119</v>
      </c>
      <c r="B80" t="s">
        <v>120</v>
      </c>
    </row>
    <row r="81" spans="1:5" ht="15.75" thickTop="1" x14ac:dyDescent="0.25"/>
    <row r="82" spans="1:5" x14ac:dyDescent="0.25">
      <c r="A82" s="170"/>
      <c r="B82" s="185" t="s">
        <v>121</v>
      </c>
      <c r="C82" s="186"/>
      <c r="D82" s="187"/>
    </row>
    <row r="83" spans="1:5" x14ac:dyDescent="0.25">
      <c r="A83" s="170"/>
      <c r="B83" s="14" t="s">
        <v>122</v>
      </c>
      <c r="C83" s="14" t="s">
        <v>123</v>
      </c>
      <c r="D83" s="14" t="s">
        <v>20</v>
      </c>
    </row>
    <row r="84" spans="1:5" x14ac:dyDescent="0.25">
      <c r="A84" s="5" t="s">
        <v>124</v>
      </c>
      <c r="B84" s="18">
        <v>2.2999999999999998</v>
      </c>
      <c r="C84" s="18">
        <v>5.5</v>
      </c>
      <c r="D84" s="18">
        <v>6.6</v>
      </c>
      <c r="E84" s="26" t="s">
        <v>125</v>
      </c>
    </row>
    <row r="85" spans="1:5" x14ac:dyDescent="0.25">
      <c r="A85" s="175" t="s">
        <v>126</v>
      </c>
      <c r="B85" s="176"/>
      <c r="C85" s="176"/>
      <c r="D85" s="177"/>
    </row>
    <row r="86" spans="1:5" x14ac:dyDescent="0.25">
      <c r="A86" s="178"/>
      <c r="B86" s="179"/>
      <c r="C86" s="179"/>
      <c r="D86" s="180"/>
    </row>
    <row r="87" spans="1:5" x14ac:dyDescent="0.25">
      <c r="A87" s="172" t="s">
        <v>127</v>
      </c>
      <c r="B87" s="173"/>
      <c r="C87" s="173"/>
      <c r="D87" s="174"/>
    </row>
  </sheetData>
  <mergeCells count="7">
    <mergeCell ref="A87:D87"/>
    <mergeCell ref="A85:D86"/>
    <mergeCell ref="A36:C36"/>
    <mergeCell ref="A38:B38"/>
    <mergeCell ref="A82:A83"/>
    <mergeCell ref="B82:D82"/>
    <mergeCell ref="A46:C46"/>
  </mergeCells>
  <phoneticPr fontId="19" type="noConversion"/>
  <hyperlinks>
    <hyperlink ref="A87" r:id="rId1" xr:uid="{4A939D51-726B-4BFE-BA57-4256BAEE004D}"/>
    <hyperlink ref="C7" r:id="rId2" xr:uid="{C011804D-78B7-46AE-B1CC-00756D8A746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D9E4F-89C5-4F31-9737-60385A4C4067}">
  <dimension ref="A2:G44"/>
  <sheetViews>
    <sheetView workbookViewId="0"/>
  </sheetViews>
  <sheetFormatPr defaultRowHeight="15" x14ac:dyDescent="0.25"/>
  <cols>
    <col min="1" max="1" width="3" bestFit="1" customWidth="1"/>
    <col min="2" max="2" width="5" bestFit="1" customWidth="1"/>
    <col min="3" max="4" width="12" bestFit="1" customWidth="1"/>
    <col min="6" max="6" width="9.5703125" bestFit="1" customWidth="1"/>
    <col min="7" max="7" width="19.85546875" customWidth="1"/>
  </cols>
  <sheetData>
    <row r="2" spans="1:7" x14ac:dyDescent="0.25">
      <c r="A2" s="170" t="s">
        <v>128</v>
      </c>
      <c r="B2" s="170"/>
      <c r="C2" s="170"/>
      <c r="D2" s="170"/>
      <c r="F2" s="170" t="s">
        <v>129</v>
      </c>
      <c r="G2" s="170"/>
    </row>
    <row r="3" spans="1:7" x14ac:dyDescent="0.25">
      <c r="A3" s="13"/>
      <c r="B3" s="13" t="s">
        <v>42</v>
      </c>
      <c r="C3" s="62">
        <v>3.1E-2</v>
      </c>
      <c r="D3" s="62">
        <v>0.02</v>
      </c>
      <c r="F3" s="14" t="s">
        <v>130</v>
      </c>
      <c r="G3" s="14" t="s">
        <v>131</v>
      </c>
    </row>
    <row r="4" spans="1:7" x14ac:dyDescent="0.25">
      <c r="A4" s="5">
        <v>0</v>
      </c>
      <c r="B4" s="5">
        <v>2022</v>
      </c>
      <c r="C4" s="5">
        <v>1</v>
      </c>
      <c r="D4" s="5">
        <v>1</v>
      </c>
      <c r="F4" s="5">
        <f t="shared" ref="F4:F21" si="0">F5-1</f>
        <v>2003</v>
      </c>
      <c r="G4" s="49">
        <v>1.53</v>
      </c>
    </row>
    <row r="5" spans="1:7" x14ac:dyDescent="0.25">
      <c r="A5" s="5">
        <v>1</v>
      </c>
      <c r="B5" s="5">
        <f>B4+1</f>
        <v>2023</v>
      </c>
      <c r="C5" s="20">
        <f>1/(1+C$3)^$A5</f>
        <v>0.96993210475266745</v>
      </c>
      <c r="D5" s="20">
        <f>1/(1+D$3)^$A5</f>
        <v>0.98039215686274506</v>
      </c>
      <c r="F5" s="5">
        <f t="shared" si="0"/>
        <v>2004</v>
      </c>
      <c r="G5" s="49">
        <v>1.49</v>
      </c>
    </row>
    <row r="6" spans="1:7" x14ac:dyDescent="0.25">
      <c r="A6" s="5">
        <v>2</v>
      </c>
      <c r="B6" s="5">
        <f t="shared" ref="B6:B44" si="1">B5+1</f>
        <v>2024</v>
      </c>
      <c r="C6" s="20">
        <f t="shared" ref="C6:D44" si="2">1/(1+C$3)^$A6</f>
        <v>0.94076828782993938</v>
      </c>
      <c r="D6" s="20">
        <f t="shared" si="2"/>
        <v>0.96116878123798544</v>
      </c>
      <c r="F6" s="5">
        <f t="shared" si="0"/>
        <v>2005</v>
      </c>
      <c r="G6" s="49">
        <v>1.45</v>
      </c>
    </row>
    <row r="7" spans="1:7" x14ac:dyDescent="0.25">
      <c r="A7" s="5">
        <v>3</v>
      </c>
      <c r="B7" s="5">
        <f t="shared" si="1"/>
        <v>2025</v>
      </c>
      <c r="C7" s="20">
        <f t="shared" si="2"/>
        <v>0.91248136549945624</v>
      </c>
      <c r="D7" s="20">
        <f t="shared" si="2"/>
        <v>0.94232233454704462</v>
      </c>
      <c r="F7" s="5">
        <f t="shared" si="0"/>
        <v>2006</v>
      </c>
      <c r="G7" s="49">
        <v>1.4</v>
      </c>
    </row>
    <row r="8" spans="1:7" x14ac:dyDescent="0.25">
      <c r="A8" s="5">
        <v>4</v>
      </c>
      <c r="B8" s="5">
        <f t="shared" si="1"/>
        <v>2026</v>
      </c>
      <c r="C8" s="20">
        <f t="shared" si="2"/>
        <v>0.88504497138647553</v>
      </c>
      <c r="D8" s="20">
        <f t="shared" si="2"/>
        <v>0.9238454260265142</v>
      </c>
      <c r="F8" s="5">
        <f t="shared" si="0"/>
        <v>2007</v>
      </c>
      <c r="G8" s="49">
        <v>1.37</v>
      </c>
    </row>
    <row r="9" spans="1:7" x14ac:dyDescent="0.25">
      <c r="A9" s="5">
        <v>5</v>
      </c>
      <c r="B9" s="5">
        <f t="shared" si="1"/>
        <v>2027</v>
      </c>
      <c r="C9" s="20">
        <f t="shared" si="2"/>
        <v>0.85843353189764848</v>
      </c>
      <c r="D9" s="20">
        <f t="shared" si="2"/>
        <v>0.90573080982991594</v>
      </c>
      <c r="F9" s="5">
        <f t="shared" si="0"/>
        <v>2008</v>
      </c>
      <c r="G9" s="49">
        <v>1.34</v>
      </c>
    </row>
    <row r="10" spans="1:7" x14ac:dyDescent="0.25">
      <c r="A10" s="5">
        <v>6</v>
      </c>
      <c r="B10" s="5">
        <f t="shared" si="1"/>
        <v>2028</v>
      </c>
      <c r="C10" s="20">
        <f t="shared" si="2"/>
        <v>0.83262224238375215</v>
      </c>
      <c r="D10" s="20">
        <f t="shared" si="2"/>
        <v>0.88797138218619198</v>
      </c>
      <c r="F10" s="5">
        <f t="shared" si="0"/>
        <v>2009</v>
      </c>
      <c r="G10" s="49">
        <v>1.33</v>
      </c>
    </row>
    <row r="11" spans="1:7" x14ac:dyDescent="0.25">
      <c r="A11" s="5">
        <v>7</v>
      </c>
      <c r="B11" s="5">
        <f t="shared" si="1"/>
        <v>2029</v>
      </c>
      <c r="C11" s="20">
        <f t="shared" si="2"/>
        <v>0.80758704401915837</v>
      </c>
      <c r="D11" s="20">
        <f t="shared" si="2"/>
        <v>0.87056017861391388</v>
      </c>
      <c r="F11" s="5">
        <f t="shared" si="0"/>
        <v>2010</v>
      </c>
      <c r="G11" s="49">
        <v>1.32</v>
      </c>
    </row>
    <row r="12" spans="1:7" x14ac:dyDescent="0.25">
      <c r="A12" s="5">
        <v>8</v>
      </c>
      <c r="B12" s="5">
        <f t="shared" si="1"/>
        <v>2030</v>
      </c>
      <c r="C12" s="20">
        <f t="shared" si="2"/>
        <v>0.78330460137648728</v>
      </c>
      <c r="D12" s="20">
        <f t="shared" si="2"/>
        <v>0.85349037119011162</v>
      </c>
      <c r="F12" s="5">
        <f t="shared" si="0"/>
        <v>2011</v>
      </c>
      <c r="G12" s="49">
        <v>1.29</v>
      </c>
    </row>
    <row r="13" spans="1:7" x14ac:dyDescent="0.25">
      <c r="A13" s="5">
        <v>9</v>
      </c>
      <c r="B13" s="5">
        <f t="shared" si="1"/>
        <v>2031</v>
      </c>
      <c r="C13" s="20">
        <f t="shared" si="2"/>
        <v>0.75975228067554545</v>
      </c>
      <c r="D13" s="20">
        <f t="shared" si="2"/>
        <v>0.83675526587265847</v>
      </c>
      <c r="F13" s="5">
        <f t="shared" si="0"/>
        <v>2012</v>
      </c>
      <c r="G13" s="49">
        <v>1.27</v>
      </c>
    </row>
    <row r="14" spans="1:7" x14ac:dyDescent="0.25">
      <c r="A14" s="5">
        <v>10</v>
      </c>
      <c r="B14" s="5">
        <f t="shared" si="1"/>
        <v>2032</v>
      </c>
      <c r="C14" s="20">
        <f t="shared" si="2"/>
        <v>0.73690812868627109</v>
      </c>
      <c r="D14" s="20">
        <f t="shared" si="2"/>
        <v>0.82034829987515534</v>
      </c>
      <c r="F14" s="5">
        <f t="shared" si="0"/>
        <v>2013</v>
      </c>
      <c r="G14" s="49">
        <v>1.24</v>
      </c>
    </row>
    <row r="15" spans="1:7" x14ac:dyDescent="0.25">
      <c r="A15" s="5">
        <v>11</v>
      </c>
      <c r="B15" s="5">
        <f t="shared" si="1"/>
        <v>2033</v>
      </c>
      <c r="C15" s="20">
        <f t="shared" si="2"/>
        <v>0.71475085226602442</v>
      </c>
      <c r="D15" s="20">
        <f t="shared" si="2"/>
        <v>0.80426303909328967</v>
      </c>
      <c r="F15" s="5">
        <f t="shared" si="0"/>
        <v>2014</v>
      </c>
      <c r="G15" s="49">
        <v>1.22</v>
      </c>
    </row>
    <row r="16" spans="1:7" x14ac:dyDescent="0.25">
      <c r="A16" s="5">
        <v>12</v>
      </c>
      <c r="B16" s="5">
        <f t="shared" si="1"/>
        <v>2034</v>
      </c>
      <c r="C16" s="20">
        <f t="shared" si="2"/>
        <v>0.69325979851214781</v>
      </c>
      <c r="D16" s="20">
        <f t="shared" si="2"/>
        <v>0.78849317558165644</v>
      </c>
      <c r="F16" s="5">
        <f t="shared" si="0"/>
        <v>2015</v>
      </c>
      <c r="G16" s="49">
        <v>1.21</v>
      </c>
    </row>
    <row r="17" spans="1:7" x14ac:dyDescent="0.25">
      <c r="A17" s="5">
        <v>13</v>
      </c>
      <c r="B17" s="5">
        <f t="shared" si="1"/>
        <v>2035</v>
      </c>
      <c r="C17" s="20">
        <f t="shared" si="2"/>
        <v>0.67241493551129761</v>
      </c>
      <c r="D17" s="20">
        <f t="shared" si="2"/>
        <v>0.77303252508005538</v>
      </c>
      <c r="F17" s="5">
        <f t="shared" si="0"/>
        <v>2016</v>
      </c>
      <c r="G17" s="49">
        <v>1.2</v>
      </c>
    </row>
    <row r="18" spans="1:7" x14ac:dyDescent="0.25">
      <c r="A18" s="5">
        <v>14</v>
      </c>
      <c r="B18" s="5">
        <f t="shared" si="1"/>
        <v>2036</v>
      </c>
      <c r="C18" s="20">
        <f t="shared" si="2"/>
        <v>0.65219683366760206</v>
      </c>
      <c r="D18" s="20">
        <f t="shared" si="2"/>
        <v>0.75787502458828948</v>
      </c>
      <c r="F18" s="5">
        <f t="shared" si="0"/>
        <v>2017</v>
      </c>
      <c r="G18" s="49">
        <v>1.18</v>
      </c>
    </row>
    <row r="19" spans="1:7" x14ac:dyDescent="0.25">
      <c r="A19" s="5">
        <v>15</v>
      </c>
      <c r="B19" s="5">
        <f t="shared" si="1"/>
        <v>2037</v>
      </c>
      <c r="C19" s="20">
        <f t="shared" si="2"/>
        <v>0.63258664759224259</v>
      </c>
      <c r="D19" s="20">
        <f t="shared" si="2"/>
        <v>0.74301472998851925</v>
      </c>
      <c r="F19" s="5">
        <f t="shared" si="0"/>
        <v>2018</v>
      </c>
      <c r="G19" s="49">
        <v>1.1499999999999999</v>
      </c>
    </row>
    <row r="20" spans="1:7" x14ac:dyDescent="0.25">
      <c r="A20" s="5">
        <v>16</v>
      </c>
      <c r="B20" s="5">
        <f t="shared" si="1"/>
        <v>2038</v>
      </c>
      <c r="C20" s="20">
        <f t="shared" si="2"/>
        <v>0.6135660985375776</v>
      </c>
      <c r="D20" s="20">
        <f t="shared" si="2"/>
        <v>0.72844581371423445</v>
      </c>
      <c r="F20" s="5">
        <f t="shared" si="0"/>
        <v>2019</v>
      </c>
      <c r="G20" s="49">
        <v>1.1299999999999999</v>
      </c>
    </row>
    <row r="21" spans="1:7" x14ac:dyDescent="0.25">
      <c r="A21" s="5">
        <v>17</v>
      </c>
      <c r="B21" s="5">
        <f t="shared" si="1"/>
        <v>2039</v>
      </c>
      <c r="C21" s="20">
        <f t="shared" si="2"/>
        <v>0.59511745735943511</v>
      </c>
      <c r="D21" s="20">
        <f t="shared" si="2"/>
        <v>0.7141625624649357</v>
      </c>
      <c r="F21" s="5">
        <f t="shared" si="0"/>
        <v>2020</v>
      </c>
      <c r="G21" s="49">
        <v>1.1200000000000001</v>
      </c>
    </row>
    <row r="22" spans="1:7" x14ac:dyDescent="0.25">
      <c r="A22" s="5">
        <v>18</v>
      </c>
      <c r="B22" s="5">
        <f t="shared" si="1"/>
        <v>2040</v>
      </c>
      <c r="C22" s="20">
        <f t="shared" si="2"/>
        <v>0.57722352799169274</v>
      </c>
      <c r="D22" s="20">
        <f t="shared" si="2"/>
        <v>0.7001593749656233</v>
      </c>
      <c r="F22" s="5">
        <f>F23-1</f>
        <v>2021</v>
      </c>
      <c r="G22" s="49">
        <v>1.07</v>
      </c>
    </row>
    <row r="23" spans="1:7" x14ac:dyDescent="0.25">
      <c r="A23" s="5">
        <v>19</v>
      </c>
      <c r="B23" s="5">
        <f t="shared" si="1"/>
        <v>2041</v>
      </c>
      <c r="C23" s="20">
        <f t="shared" si="2"/>
        <v>0.55986763141774276</v>
      </c>
      <c r="D23" s="20">
        <f t="shared" si="2"/>
        <v>0.68643075977021895</v>
      </c>
      <c r="F23" s="5">
        <f>B4</f>
        <v>2022</v>
      </c>
      <c r="G23" s="49">
        <v>1</v>
      </c>
    </row>
    <row r="24" spans="1:7" x14ac:dyDescent="0.25">
      <c r="A24" s="5">
        <v>20</v>
      </c>
      <c r="B24" s="5">
        <f t="shared" si="1"/>
        <v>2042</v>
      </c>
      <c r="C24" s="20">
        <f t="shared" si="2"/>
        <v>0.54303359012390184</v>
      </c>
      <c r="D24" s="20">
        <f t="shared" si="2"/>
        <v>0.67297133310805779</v>
      </c>
      <c r="F24" s="188" t="s">
        <v>132</v>
      </c>
      <c r="G24" s="188"/>
    </row>
    <row r="25" spans="1:7" x14ac:dyDescent="0.25">
      <c r="A25" s="5">
        <v>21</v>
      </c>
      <c r="B25" s="5">
        <f t="shared" si="1"/>
        <v>2043</v>
      </c>
      <c r="C25" s="20">
        <f t="shared" si="2"/>
        <v>0.52670571302027336</v>
      </c>
      <c r="D25" s="20">
        <f t="shared" si="2"/>
        <v>0.65977581677260566</v>
      </c>
    </row>
    <row r="26" spans="1:7" x14ac:dyDescent="0.25">
      <c r="A26" s="5">
        <v>22</v>
      </c>
      <c r="B26" s="5">
        <f t="shared" si="1"/>
        <v>2044</v>
      </c>
      <c r="C26" s="20">
        <f t="shared" si="2"/>
        <v>0.51086878081500819</v>
      </c>
      <c r="D26" s="20">
        <f t="shared" si="2"/>
        <v>0.64683903605157411</v>
      </c>
    </row>
    <row r="27" spans="1:7" x14ac:dyDescent="0.25">
      <c r="A27" s="5">
        <v>23</v>
      </c>
      <c r="B27" s="5">
        <f t="shared" si="1"/>
        <v>2045</v>
      </c>
      <c r="C27" s="20">
        <f t="shared" si="2"/>
        <v>0.49550803182832992</v>
      </c>
      <c r="D27" s="20">
        <f t="shared" si="2"/>
        <v>0.63415591769762181</v>
      </c>
    </row>
    <row r="28" spans="1:7" x14ac:dyDescent="0.25">
      <c r="A28" s="5">
        <v>24</v>
      </c>
      <c r="B28" s="5">
        <f t="shared" si="1"/>
        <v>2046</v>
      </c>
      <c r="C28" s="20">
        <f t="shared" si="2"/>
        <v>0.4806091482331038</v>
      </c>
      <c r="D28" s="20">
        <f t="shared" si="2"/>
        <v>0.62172148793884485</v>
      </c>
    </row>
    <row r="29" spans="1:7" x14ac:dyDescent="0.25">
      <c r="A29" s="5">
        <v>25</v>
      </c>
      <c r="B29" s="5">
        <f t="shared" si="1"/>
        <v>2047</v>
      </c>
      <c r="C29" s="20">
        <f t="shared" si="2"/>
        <v>0.46615824270912104</v>
      </c>
      <c r="D29" s="20">
        <f t="shared" si="2"/>
        <v>0.60953087052827937</v>
      </c>
    </row>
    <row r="30" spans="1:7" x14ac:dyDescent="0.25">
      <c r="A30" s="5">
        <v>26</v>
      </c>
      <c r="B30" s="5">
        <f t="shared" si="1"/>
        <v>2048</v>
      </c>
      <c r="C30" s="20">
        <f t="shared" si="2"/>
        <v>0.4521418454986626</v>
      </c>
      <c r="D30" s="20">
        <f t="shared" si="2"/>
        <v>0.59757928483164635</v>
      </c>
    </row>
    <row r="31" spans="1:7" x14ac:dyDescent="0.25">
      <c r="A31" s="5">
        <v>27</v>
      </c>
      <c r="B31" s="5">
        <f t="shared" si="1"/>
        <v>2049</v>
      </c>
      <c r="C31" s="20">
        <f t="shared" si="2"/>
        <v>0.4385468918512731</v>
      </c>
      <c r="D31" s="20">
        <f t="shared" si="2"/>
        <v>0.58586204395259456</v>
      </c>
    </row>
    <row r="32" spans="1:7" x14ac:dyDescent="0.25">
      <c r="A32" s="5">
        <v>28</v>
      </c>
      <c r="B32" s="5">
        <f t="shared" si="1"/>
        <v>2050</v>
      </c>
      <c r="C32" s="20">
        <f t="shared" si="2"/>
        <v>0.42536070984604568</v>
      </c>
      <c r="D32" s="20">
        <f t="shared" si="2"/>
        <v>0.57437455289470041</v>
      </c>
    </row>
    <row r="33" spans="1:4" x14ac:dyDescent="0.25">
      <c r="A33" s="5">
        <v>29</v>
      </c>
      <c r="B33" s="5">
        <f t="shared" si="1"/>
        <v>2051</v>
      </c>
      <c r="C33" s="20">
        <f t="shared" si="2"/>
        <v>0.41257100858006374</v>
      </c>
      <c r="D33" s="20">
        <f t="shared" si="2"/>
        <v>0.56311230675951029</v>
      </c>
    </row>
    <row r="34" spans="1:4" x14ac:dyDescent="0.25">
      <c r="A34" s="5">
        <v>30</v>
      </c>
      <c r="B34" s="5">
        <f t="shared" si="1"/>
        <v>2052</v>
      </c>
      <c r="C34" s="20">
        <f t="shared" si="2"/>
        <v>0.400165866711992</v>
      </c>
      <c r="D34" s="20">
        <f t="shared" si="2"/>
        <v>0.55207088897991197</v>
      </c>
    </row>
    <row r="35" spans="1:4" x14ac:dyDescent="0.25">
      <c r="A35" s="5">
        <v>31</v>
      </c>
      <c r="B35" s="5">
        <f t="shared" si="1"/>
        <v>2053</v>
      </c>
      <c r="C35" s="20">
        <f t="shared" si="2"/>
        <v>0.38813372135013779</v>
      </c>
      <c r="D35" s="20">
        <f t="shared" si="2"/>
        <v>0.54124596958814919</v>
      </c>
    </row>
    <row r="36" spans="1:4" x14ac:dyDescent="0.25">
      <c r="A36" s="5">
        <v>32</v>
      </c>
      <c r="B36" s="5">
        <f t="shared" si="1"/>
        <v>2054</v>
      </c>
      <c r="C36" s="20">
        <f t="shared" si="2"/>
        <v>0.37646335727462438</v>
      </c>
      <c r="D36" s="20">
        <f t="shared" si="2"/>
        <v>0.53063330351779314</v>
      </c>
    </row>
    <row r="37" spans="1:4" x14ac:dyDescent="0.25">
      <c r="A37" s="5">
        <v>33</v>
      </c>
      <c r="B37" s="5">
        <f t="shared" si="1"/>
        <v>2055</v>
      </c>
      <c r="C37" s="20">
        <f t="shared" si="2"/>
        <v>0.36514389648363188</v>
      </c>
      <c r="D37" s="20">
        <f t="shared" si="2"/>
        <v>0.52022872893901284</v>
      </c>
    </row>
    <row r="38" spans="1:4" x14ac:dyDescent="0.25">
      <c r="A38" s="5">
        <v>34</v>
      </c>
      <c r="B38" s="5">
        <f t="shared" si="1"/>
        <v>2056</v>
      </c>
      <c r="C38" s="20">
        <f t="shared" si="2"/>
        <v>0.35416478805395912</v>
      </c>
      <c r="D38" s="20">
        <f t="shared" si="2"/>
        <v>0.51002816562648323</v>
      </c>
    </row>
    <row r="39" spans="1:4" x14ac:dyDescent="0.25">
      <c r="A39" s="5">
        <v>35</v>
      </c>
      <c r="B39" s="5">
        <f t="shared" si="1"/>
        <v>2057</v>
      </c>
      <c r="C39" s="20">
        <f t="shared" si="2"/>
        <v>0.34351579830645895</v>
      </c>
      <c r="D39" s="20">
        <f t="shared" si="2"/>
        <v>0.50002761335929735</v>
      </c>
    </row>
    <row r="40" spans="1:4" x14ac:dyDescent="0.25">
      <c r="A40" s="5">
        <v>36</v>
      </c>
      <c r="B40" s="5">
        <f t="shared" si="1"/>
        <v>2058</v>
      </c>
      <c r="C40" s="20">
        <f t="shared" si="2"/>
        <v>0.33318700126717649</v>
      </c>
      <c r="D40" s="20">
        <f t="shared" si="2"/>
        <v>0.49022315035225233</v>
      </c>
    </row>
    <row r="41" spans="1:4" x14ac:dyDescent="0.25">
      <c r="A41" s="5">
        <v>37</v>
      </c>
      <c r="B41" s="5">
        <f t="shared" si="1"/>
        <v>2059</v>
      </c>
      <c r="C41" s="20">
        <f t="shared" si="2"/>
        <v>0.32316876941530209</v>
      </c>
      <c r="D41" s="20">
        <f t="shared" si="2"/>
        <v>0.48061093171789437</v>
      </c>
    </row>
    <row r="42" spans="1:4" x14ac:dyDescent="0.25">
      <c r="A42" s="5">
        <v>38</v>
      </c>
      <c r="B42" s="5">
        <f t="shared" si="1"/>
        <v>2060</v>
      </c>
      <c r="C42" s="20">
        <f t="shared" si="2"/>
        <v>0.31345176470931341</v>
      </c>
      <c r="D42" s="20">
        <f t="shared" si="2"/>
        <v>0.47118718795871989</v>
      </c>
    </row>
    <row r="43" spans="1:4" x14ac:dyDescent="0.25">
      <c r="A43" s="5">
        <v>39</v>
      </c>
      <c r="B43" s="5">
        <f t="shared" si="1"/>
        <v>2061</v>
      </c>
      <c r="C43" s="20">
        <f t="shared" si="2"/>
        <v>0.30402692988294228</v>
      </c>
      <c r="D43" s="20">
        <f t="shared" si="2"/>
        <v>0.46194822348894127</v>
      </c>
    </row>
    <row r="44" spans="1:4" x14ac:dyDescent="0.25">
      <c r="A44" s="5">
        <v>40</v>
      </c>
      <c r="B44" s="5">
        <f t="shared" si="1"/>
        <v>2062</v>
      </c>
      <c r="C44" s="20">
        <f t="shared" si="2"/>
        <v>0.29488548000285381</v>
      </c>
      <c r="D44" s="20">
        <f t="shared" si="2"/>
        <v>0.45289041518523643</v>
      </c>
    </row>
  </sheetData>
  <mergeCells count="3">
    <mergeCell ref="F2:G2"/>
    <mergeCell ref="F24:G24"/>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58AE-3EEA-4080-ACD3-29F53B0282A8}">
  <dimension ref="A3:L48"/>
  <sheetViews>
    <sheetView workbookViewId="0"/>
  </sheetViews>
  <sheetFormatPr defaultRowHeight="15" x14ac:dyDescent="0.25"/>
  <cols>
    <col min="1" max="1" width="24.5703125" customWidth="1"/>
    <col min="2" max="2" width="18.42578125" customWidth="1"/>
    <col min="3" max="3" width="14.5703125" customWidth="1"/>
    <col min="4" max="4" width="12" bestFit="1" customWidth="1"/>
    <col min="5" max="5" width="9.28515625" customWidth="1"/>
    <col min="8" max="8" width="58" customWidth="1"/>
    <col min="11" max="11" width="14.28515625" customWidth="1"/>
    <col min="12" max="12" width="17.7109375" customWidth="1"/>
  </cols>
  <sheetData>
    <row r="3" spans="1:12" ht="18" x14ac:dyDescent="0.25">
      <c r="A3" s="5" t="s">
        <v>133</v>
      </c>
      <c r="B3" s="16">
        <f>L37</f>
        <v>18887540</v>
      </c>
      <c r="G3" s="189" t="s">
        <v>134</v>
      </c>
      <c r="H3" s="189"/>
      <c r="I3" s="189"/>
      <c r="J3" s="189"/>
      <c r="K3" s="189"/>
      <c r="L3" s="189"/>
    </row>
    <row r="4" spans="1:12" ht="18" x14ac:dyDescent="0.25">
      <c r="A4" s="5" t="s">
        <v>135</v>
      </c>
      <c r="B4" s="18">
        <v>2025</v>
      </c>
      <c r="G4" s="189" t="s">
        <v>136</v>
      </c>
      <c r="H4" s="189"/>
      <c r="I4" s="189"/>
      <c r="J4" s="189"/>
      <c r="K4" s="189"/>
      <c r="L4" s="189"/>
    </row>
    <row r="5" spans="1:12" ht="18" x14ac:dyDescent="0.25">
      <c r="A5" s="5" t="s">
        <v>137</v>
      </c>
      <c r="B5" s="18">
        <v>2028</v>
      </c>
      <c r="G5" s="189" t="s">
        <v>138</v>
      </c>
      <c r="H5" s="189"/>
      <c r="I5" s="189"/>
      <c r="J5" s="189"/>
      <c r="K5" s="189"/>
      <c r="L5" s="189"/>
    </row>
    <row r="6" spans="1:12" ht="18" x14ac:dyDescent="0.25">
      <c r="G6" s="190">
        <v>45322</v>
      </c>
      <c r="H6" s="190"/>
      <c r="I6" s="190"/>
      <c r="J6" s="190"/>
      <c r="K6" s="190"/>
      <c r="L6" s="190"/>
    </row>
    <row r="7" spans="1:12" x14ac:dyDescent="0.25">
      <c r="A7" s="170" t="s">
        <v>139</v>
      </c>
      <c r="B7" s="170"/>
      <c r="C7" s="170"/>
      <c r="D7" s="170"/>
      <c r="G7" s="191" t="s">
        <v>140</v>
      </c>
      <c r="H7" s="191"/>
      <c r="I7" s="191"/>
      <c r="J7" s="191"/>
      <c r="K7" s="191"/>
      <c r="L7" s="191"/>
    </row>
    <row r="8" spans="1:12" ht="30" x14ac:dyDescent="0.25">
      <c r="A8" s="14" t="s">
        <v>42</v>
      </c>
      <c r="B8" s="15" t="s">
        <v>141</v>
      </c>
      <c r="C8" s="15" t="s">
        <v>142</v>
      </c>
      <c r="D8" s="14" t="s">
        <v>73</v>
      </c>
      <c r="G8" s="93" t="s">
        <v>143</v>
      </c>
      <c r="H8" s="94" t="s">
        <v>144</v>
      </c>
      <c r="I8" s="93" t="s">
        <v>145</v>
      </c>
      <c r="J8" s="93" t="s">
        <v>146</v>
      </c>
      <c r="K8" s="93" t="s">
        <v>147</v>
      </c>
      <c r="L8" s="93" t="s">
        <v>148</v>
      </c>
    </row>
    <row r="9" spans="1:12" x14ac:dyDescent="0.25">
      <c r="A9" s="5">
        <f>'Capital Costs'!B4</f>
        <v>2025</v>
      </c>
      <c r="B9" s="65">
        <v>0.25</v>
      </c>
      <c r="C9" s="16">
        <f>$B$3*$B9</f>
        <v>4721885</v>
      </c>
      <c r="D9" s="16">
        <f>C9*VLOOKUP($A9,NPV!$B$3:$D$44,3,FALSE)</f>
        <v>4449537.6966626719</v>
      </c>
      <c r="E9" s="74"/>
      <c r="G9" s="95">
        <v>1</v>
      </c>
      <c r="H9" s="96" t="s">
        <v>149</v>
      </c>
      <c r="I9" s="95" t="s">
        <v>150</v>
      </c>
      <c r="J9" s="95">
        <v>965</v>
      </c>
      <c r="K9" s="97">
        <v>2500</v>
      </c>
      <c r="L9" s="98">
        <f>K9*J9</f>
        <v>2412500</v>
      </c>
    </row>
    <row r="10" spans="1:12" x14ac:dyDescent="0.25">
      <c r="A10" s="5">
        <f>A9+1</f>
        <v>2026</v>
      </c>
      <c r="B10" s="65">
        <v>0.5</v>
      </c>
      <c r="C10" s="16">
        <f t="shared" ref="C10:C30" si="0">$B$3*$B10</f>
        <v>9443770</v>
      </c>
      <c r="D10" s="16">
        <f>C10*VLOOKUP($A10,NPV!$B$3:$D$44,3,FALSE)</f>
        <v>8724583.7189464141</v>
      </c>
      <c r="G10" s="95">
        <v>2</v>
      </c>
      <c r="H10" s="96" t="s">
        <v>151</v>
      </c>
      <c r="I10" s="95" t="s">
        <v>152</v>
      </c>
      <c r="J10" s="95">
        <v>603</v>
      </c>
      <c r="K10" s="97">
        <v>2000</v>
      </c>
      <c r="L10" s="98">
        <f>K10*J10</f>
        <v>1206000</v>
      </c>
    </row>
    <row r="11" spans="1:12" x14ac:dyDescent="0.25">
      <c r="A11" s="5">
        <f t="shared" ref="A11:A30" si="1">A10+1</f>
        <v>2027</v>
      </c>
      <c r="B11" s="65">
        <v>0.25</v>
      </c>
      <c r="C11" s="16">
        <f t="shared" si="0"/>
        <v>4721885</v>
      </c>
      <c r="D11" s="16">
        <f>C11*VLOOKUP($A11,NPV!$B$3:$D$44,3,FALSE)</f>
        <v>4276756.7249737326</v>
      </c>
      <c r="G11" s="95">
        <v>3</v>
      </c>
      <c r="H11" s="96" t="s">
        <v>153</v>
      </c>
      <c r="I11" s="95" t="s">
        <v>154</v>
      </c>
      <c r="J11" s="95">
        <v>2100</v>
      </c>
      <c r="K11" s="97">
        <v>100</v>
      </c>
      <c r="L11" s="98">
        <f t="shared" ref="L11:L15" si="2">K11*J11</f>
        <v>210000</v>
      </c>
    </row>
    <row r="12" spans="1:12" x14ac:dyDescent="0.25">
      <c r="A12" s="5">
        <f t="shared" si="1"/>
        <v>2028</v>
      </c>
      <c r="B12" s="65"/>
      <c r="C12" s="16">
        <f t="shared" si="0"/>
        <v>0</v>
      </c>
      <c r="D12" s="16">
        <f>C12*VLOOKUP($A12,NPV!$B$3:$D$44,3,FALSE)</f>
        <v>0</v>
      </c>
      <c r="G12" s="95">
        <v>4</v>
      </c>
      <c r="H12" s="96" t="s">
        <v>155</v>
      </c>
      <c r="I12" s="95" t="s">
        <v>154</v>
      </c>
      <c r="J12" s="95">
        <v>1820</v>
      </c>
      <c r="K12" s="97">
        <v>2000</v>
      </c>
      <c r="L12" s="98">
        <f t="shared" si="2"/>
        <v>3640000</v>
      </c>
    </row>
    <row r="13" spans="1:12" x14ac:dyDescent="0.25">
      <c r="A13" s="5">
        <f t="shared" si="1"/>
        <v>2029</v>
      </c>
      <c r="B13" s="65"/>
      <c r="C13" s="16">
        <f t="shared" si="0"/>
        <v>0</v>
      </c>
      <c r="D13" s="16">
        <f>C13*VLOOKUP($A13,NPV!$B$3:$D$44,3,FALSE)</f>
        <v>0</v>
      </c>
      <c r="G13" s="95">
        <v>5</v>
      </c>
      <c r="H13" s="96" t="s">
        <v>156</v>
      </c>
      <c r="I13" s="99" t="s">
        <v>157</v>
      </c>
      <c r="J13" s="99">
        <v>1500</v>
      </c>
      <c r="K13" s="100">
        <v>400</v>
      </c>
      <c r="L13" s="101">
        <f t="shared" si="2"/>
        <v>600000</v>
      </c>
    </row>
    <row r="14" spans="1:12" x14ac:dyDescent="0.25">
      <c r="A14" s="5">
        <f t="shared" si="1"/>
        <v>2030</v>
      </c>
      <c r="B14" s="65"/>
      <c r="C14" s="16">
        <f t="shared" si="0"/>
        <v>0</v>
      </c>
      <c r="D14" s="16">
        <f>C14*VLOOKUP($A14,NPV!$B$3:$D$44,3,FALSE)</f>
        <v>0</v>
      </c>
      <c r="G14" s="95">
        <v>6</v>
      </c>
      <c r="H14" s="96" t="s">
        <v>158</v>
      </c>
      <c r="I14" s="95" t="s">
        <v>157</v>
      </c>
      <c r="J14" s="95">
        <v>1285</v>
      </c>
      <c r="K14" s="97">
        <v>600</v>
      </c>
      <c r="L14" s="98">
        <f t="shared" si="2"/>
        <v>771000</v>
      </c>
    </row>
    <row r="15" spans="1:12" x14ac:dyDescent="0.25">
      <c r="A15" s="5">
        <f t="shared" si="1"/>
        <v>2031</v>
      </c>
      <c r="B15" s="65"/>
      <c r="C15" s="16">
        <f t="shared" si="0"/>
        <v>0</v>
      </c>
      <c r="D15" s="16">
        <f>C15*VLOOKUP($A15,NPV!$B$3:$D$44,3,FALSE)</f>
        <v>0</v>
      </c>
      <c r="G15" s="95">
        <v>7</v>
      </c>
      <c r="H15" s="96" t="s">
        <v>159</v>
      </c>
      <c r="I15" s="95" t="s">
        <v>160</v>
      </c>
      <c r="J15" s="95">
        <v>1</v>
      </c>
      <c r="K15" s="97">
        <v>50000</v>
      </c>
      <c r="L15" s="98">
        <f t="shared" si="2"/>
        <v>50000</v>
      </c>
    </row>
    <row r="16" spans="1:12" x14ac:dyDescent="0.25">
      <c r="A16" s="5">
        <f t="shared" si="1"/>
        <v>2032</v>
      </c>
      <c r="B16" s="65"/>
      <c r="C16" s="16">
        <f t="shared" si="0"/>
        <v>0</v>
      </c>
      <c r="D16" s="16">
        <f>C16*VLOOKUP($A16,NPV!$B$3:$D$44,3,FALSE)</f>
        <v>0</v>
      </c>
      <c r="G16" s="95">
        <v>8</v>
      </c>
      <c r="H16" s="96" t="s">
        <v>161</v>
      </c>
      <c r="I16" s="95" t="s">
        <v>152</v>
      </c>
      <c r="J16" s="95">
        <v>22</v>
      </c>
      <c r="K16" s="97">
        <v>1250</v>
      </c>
      <c r="L16" s="98">
        <f>K16*J16</f>
        <v>27500</v>
      </c>
    </row>
    <row r="17" spans="1:12" x14ac:dyDescent="0.25">
      <c r="A17" s="5">
        <f t="shared" si="1"/>
        <v>2033</v>
      </c>
      <c r="B17" s="65"/>
      <c r="C17" s="16">
        <f t="shared" si="0"/>
        <v>0</v>
      </c>
      <c r="D17" s="16">
        <f>C17*VLOOKUP($A17,NPV!$B$3:$D$44,3,FALSE)</f>
        <v>0</v>
      </c>
      <c r="G17" s="95">
        <v>9</v>
      </c>
      <c r="H17" s="96" t="s">
        <v>162</v>
      </c>
      <c r="I17" s="95" t="s">
        <v>157</v>
      </c>
      <c r="J17" s="95">
        <v>1154</v>
      </c>
      <c r="K17" s="97">
        <v>100</v>
      </c>
      <c r="L17" s="98">
        <f>K17*J17</f>
        <v>115400</v>
      </c>
    </row>
    <row r="18" spans="1:12" x14ac:dyDescent="0.25">
      <c r="A18" s="5">
        <f t="shared" si="1"/>
        <v>2034</v>
      </c>
      <c r="B18" s="65"/>
      <c r="C18" s="16">
        <f t="shared" si="0"/>
        <v>0</v>
      </c>
      <c r="D18" s="16">
        <f>C18*VLOOKUP($A18,NPV!$B$3:$D$44,3,FALSE)</f>
        <v>0</v>
      </c>
      <c r="G18" s="95">
        <v>10</v>
      </c>
      <c r="H18" s="102" t="s">
        <v>163</v>
      </c>
      <c r="I18" s="99" t="s">
        <v>157</v>
      </c>
      <c r="J18" s="99">
        <v>196</v>
      </c>
      <c r="K18" s="100">
        <v>200</v>
      </c>
      <c r="L18" s="101">
        <f>K18*J18</f>
        <v>39200</v>
      </c>
    </row>
    <row r="19" spans="1:12" x14ac:dyDescent="0.25">
      <c r="A19" s="5">
        <f t="shared" si="1"/>
        <v>2035</v>
      </c>
      <c r="B19" s="65"/>
      <c r="C19" s="16">
        <f t="shared" si="0"/>
        <v>0</v>
      </c>
      <c r="D19" s="16">
        <f>C19*VLOOKUP($A19,NPV!$B$3:$D$44,3,FALSE)</f>
        <v>0</v>
      </c>
      <c r="G19" s="95">
        <v>11</v>
      </c>
      <c r="H19" s="96" t="s">
        <v>164</v>
      </c>
      <c r="I19" s="99" t="s">
        <v>152</v>
      </c>
      <c r="J19" s="99">
        <v>120</v>
      </c>
      <c r="K19" s="100">
        <v>30000</v>
      </c>
      <c r="L19" s="101">
        <f t="shared" ref="L19:L30" si="3">K19*J19</f>
        <v>3600000</v>
      </c>
    </row>
    <row r="20" spans="1:12" x14ac:dyDescent="0.25">
      <c r="A20" s="5">
        <f t="shared" si="1"/>
        <v>2036</v>
      </c>
      <c r="B20" s="65"/>
      <c r="C20" s="16">
        <f t="shared" si="0"/>
        <v>0</v>
      </c>
      <c r="D20" s="16">
        <f>C20*VLOOKUP($A20,NPV!$B$3:$D$44,3,FALSE)</f>
        <v>0</v>
      </c>
      <c r="G20" s="95">
        <v>12</v>
      </c>
      <c r="H20" s="96" t="s">
        <v>165</v>
      </c>
      <c r="I20" s="99" t="s">
        <v>152</v>
      </c>
      <c r="J20" s="99">
        <v>8</v>
      </c>
      <c r="K20" s="100">
        <v>10000</v>
      </c>
      <c r="L20" s="101">
        <f t="shared" si="3"/>
        <v>80000</v>
      </c>
    </row>
    <row r="21" spans="1:12" x14ac:dyDescent="0.25">
      <c r="A21" s="5">
        <f t="shared" si="1"/>
        <v>2037</v>
      </c>
      <c r="B21" s="65"/>
      <c r="C21" s="16">
        <f t="shared" si="0"/>
        <v>0</v>
      </c>
      <c r="D21" s="16">
        <f>C21*VLOOKUP($A21,NPV!$B$3:$D$44,3,FALSE)</f>
        <v>0</v>
      </c>
      <c r="G21" s="95">
        <v>13</v>
      </c>
      <c r="H21" s="96" t="s">
        <v>166</v>
      </c>
      <c r="I21" s="99" t="s">
        <v>154</v>
      </c>
      <c r="J21" s="99">
        <v>900</v>
      </c>
      <c r="K21" s="100">
        <v>120</v>
      </c>
      <c r="L21" s="101">
        <f t="shared" si="3"/>
        <v>108000</v>
      </c>
    </row>
    <row r="22" spans="1:12" x14ac:dyDescent="0.25">
      <c r="A22" s="5">
        <f t="shared" si="1"/>
        <v>2038</v>
      </c>
      <c r="B22" s="65"/>
      <c r="C22" s="16">
        <f t="shared" si="0"/>
        <v>0</v>
      </c>
      <c r="D22" s="16">
        <f>C22*VLOOKUP($A22,NPV!$B$3:$D$44,3,FALSE)</f>
        <v>0</v>
      </c>
      <c r="G22" s="95">
        <v>14</v>
      </c>
      <c r="H22" s="96" t="s">
        <v>167</v>
      </c>
      <c r="I22" s="99" t="s">
        <v>168</v>
      </c>
      <c r="J22" s="99">
        <v>110</v>
      </c>
      <c r="K22" s="100">
        <v>150</v>
      </c>
      <c r="L22" s="101">
        <f t="shared" si="3"/>
        <v>16500</v>
      </c>
    </row>
    <row r="23" spans="1:12" x14ac:dyDescent="0.25">
      <c r="A23" s="5">
        <f t="shared" si="1"/>
        <v>2039</v>
      </c>
      <c r="B23" s="65"/>
      <c r="C23" s="16">
        <f t="shared" si="0"/>
        <v>0</v>
      </c>
      <c r="D23" s="16">
        <f>C23*VLOOKUP($A23,NPV!$B$3:$D$44,3,FALSE)</f>
        <v>0</v>
      </c>
      <c r="G23" s="95">
        <v>15</v>
      </c>
      <c r="H23" s="96" t="s">
        <v>169</v>
      </c>
      <c r="I23" s="99" t="s">
        <v>154</v>
      </c>
      <c r="J23" s="99">
        <v>30</v>
      </c>
      <c r="K23" s="100">
        <v>100</v>
      </c>
      <c r="L23" s="101">
        <f t="shared" si="3"/>
        <v>3000</v>
      </c>
    </row>
    <row r="24" spans="1:12" x14ac:dyDescent="0.25">
      <c r="A24" s="5">
        <f t="shared" si="1"/>
        <v>2040</v>
      </c>
      <c r="B24" s="65"/>
      <c r="C24" s="16">
        <f t="shared" si="0"/>
        <v>0</v>
      </c>
      <c r="D24" s="16">
        <f>C24*VLOOKUP($A24,NPV!$B$3:$D$44,3,FALSE)</f>
        <v>0</v>
      </c>
      <c r="G24" s="95">
        <v>16</v>
      </c>
      <c r="H24" s="96" t="s">
        <v>170</v>
      </c>
      <c r="I24" s="99" t="s">
        <v>154</v>
      </c>
      <c r="J24" s="99">
        <v>150</v>
      </c>
      <c r="K24" s="100">
        <v>180</v>
      </c>
      <c r="L24" s="101">
        <f t="shared" si="3"/>
        <v>27000</v>
      </c>
    </row>
    <row r="25" spans="1:12" x14ac:dyDescent="0.25">
      <c r="A25" s="5">
        <f t="shared" si="1"/>
        <v>2041</v>
      </c>
      <c r="B25" s="65"/>
      <c r="C25" s="16">
        <f t="shared" si="0"/>
        <v>0</v>
      </c>
      <c r="D25" s="16">
        <f>C25*VLOOKUP($A25,NPV!$B$3:$D$44,3,FALSE)</f>
        <v>0</v>
      </c>
      <c r="G25" s="95">
        <v>17</v>
      </c>
      <c r="H25" s="96" t="s">
        <v>171</v>
      </c>
      <c r="I25" s="99" t="s">
        <v>150</v>
      </c>
      <c r="J25" s="99">
        <v>72</v>
      </c>
      <c r="K25" s="100">
        <v>2500</v>
      </c>
      <c r="L25" s="101">
        <f t="shared" si="3"/>
        <v>180000</v>
      </c>
    </row>
    <row r="26" spans="1:12" x14ac:dyDescent="0.25">
      <c r="A26" s="5">
        <f t="shared" si="1"/>
        <v>2042</v>
      </c>
      <c r="B26" s="65"/>
      <c r="C26" s="16">
        <f t="shared" si="0"/>
        <v>0</v>
      </c>
      <c r="D26" s="16">
        <f>C26*VLOOKUP($A26,NPV!$B$3:$D$44,3,FALSE)</f>
        <v>0</v>
      </c>
      <c r="G26" s="95">
        <v>18</v>
      </c>
      <c r="H26" s="96" t="s">
        <v>172</v>
      </c>
      <c r="I26" s="99" t="s">
        <v>152</v>
      </c>
      <c r="J26" s="99">
        <v>12</v>
      </c>
      <c r="K26" s="100">
        <v>6000</v>
      </c>
      <c r="L26" s="101">
        <f t="shared" si="3"/>
        <v>72000</v>
      </c>
    </row>
    <row r="27" spans="1:12" x14ac:dyDescent="0.25">
      <c r="A27" s="5">
        <f t="shared" si="1"/>
        <v>2043</v>
      </c>
      <c r="B27" s="65"/>
      <c r="C27" s="16">
        <f t="shared" si="0"/>
        <v>0</v>
      </c>
      <c r="D27" s="16">
        <f>C27*VLOOKUP($A27,NPV!$B$3:$D$44,3,FALSE)</f>
        <v>0</v>
      </c>
      <c r="G27" s="95">
        <v>19</v>
      </c>
      <c r="H27" s="96" t="s">
        <v>173</v>
      </c>
      <c r="I27" s="99" t="s">
        <v>154</v>
      </c>
      <c r="J27" s="99">
        <v>120</v>
      </c>
      <c r="K27" s="100">
        <v>2000</v>
      </c>
      <c r="L27" s="101">
        <f t="shared" si="3"/>
        <v>240000</v>
      </c>
    </row>
    <row r="28" spans="1:12" x14ac:dyDescent="0.25">
      <c r="A28" s="5">
        <f t="shared" si="1"/>
        <v>2044</v>
      </c>
      <c r="B28" s="65"/>
      <c r="C28" s="16">
        <f t="shared" si="0"/>
        <v>0</v>
      </c>
      <c r="D28" s="16">
        <f>C28*VLOOKUP($A28,NPV!$B$3:$D$44,3,FALSE)</f>
        <v>0</v>
      </c>
      <c r="G28" s="95">
        <v>20</v>
      </c>
      <c r="H28" s="96" t="s">
        <v>174</v>
      </c>
      <c r="I28" s="99" t="s">
        <v>152</v>
      </c>
      <c r="J28" s="99">
        <v>6</v>
      </c>
      <c r="K28" s="100">
        <v>7500</v>
      </c>
      <c r="L28" s="101">
        <f t="shared" si="3"/>
        <v>45000</v>
      </c>
    </row>
    <row r="29" spans="1:12" x14ac:dyDescent="0.25">
      <c r="A29" s="5">
        <f t="shared" si="1"/>
        <v>2045</v>
      </c>
      <c r="B29" s="65"/>
      <c r="C29" s="16">
        <f t="shared" si="0"/>
        <v>0</v>
      </c>
      <c r="D29" s="16">
        <f>C29*VLOOKUP($A29,NPV!$B$3:$D$44,3,FALSE)</f>
        <v>0</v>
      </c>
      <c r="G29" s="95">
        <v>21</v>
      </c>
      <c r="H29" s="96" t="s">
        <v>175</v>
      </c>
      <c r="I29" s="99" t="s">
        <v>154</v>
      </c>
      <c r="J29" s="99">
        <v>30</v>
      </c>
      <c r="K29" s="100">
        <v>1200</v>
      </c>
      <c r="L29" s="101">
        <f t="shared" si="3"/>
        <v>36000</v>
      </c>
    </row>
    <row r="30" spans="1:12" x14ac:dyDescent="0.25">
      <c r="A30" s="5">
        <f t="shared" si="1"/>
        <v>2046</v>
      </c>
      <c r="B30" s="65"/>
      <c r="C30" s="16">
        <f t="shared" si="0"/>
        <v>0</v>
      </c>
      <c r="D30" s="16">
        <f>C30*VLOOKUP($A30,NPV!$B$3:$D$44,3,FALSE)</f>
        <v>0</v>
      </c>
      <c r="G30" s="95">
        <v>22</v>
      </c>
      <c r="H30" s="96" t="s">
        <v>176</v>
      </c>
      <c r="I30" s="99" t="s">
        <v>154</v>
      </c>
      <c r="J30" s="99">
        <v>30</v>
      </c>
      <c r="K30" s="100">
        <v>400</v>
      </c>
      <c r="L30" s="101">
        <f t="shared" si="3"/>
        <v>12000</v>
      </c>
    </row>
    <row r="31" spans="1:12" x14ac:dyDescent="0.25">
      <c r="A31" s="11" t="s">
        <v>45</v>
      </c>
      <c r="B31" s="66">
        <f>SUM(B9:B30)</f>
        <v>1</v>
      </c>
      <c r="C31" s="39">
        <f>SUBTOTAL(9,C9:C30)</f>
        <v>18887540</v>
      </c>
      <c r="D31" s="39">
        <f>SUBTOTAL(9,D9:D30)</f>
        <v>17450878.140582819</v>
      </c>
      <c r="G31" s="93"/>
      <c r="H31" s="103" t="s">
        <v>177</v>
      </c>
      <c r="I31" s="192"/>
      <c r="J31" s="192"/>
      <c r="K31" s="192"/>
      <c r="L31" s="104">
        <f>SUM(L9:L30)</f>
        <v>13491100</v>
      </c>
    </row>
    <row r="32" spans="1:12" ht="15.75" thickBot="1" x14ac:dyDescent="0.3">
      <c r="G32" s="193" t="s">
        <v>178</v>
      </c>
      <c r="H32" s="193"/>
      <c r="I32" s="193"/>
      <c r="J32" s="193"/>
      <c r="K32" s="193"/>
      <c r="L32" s="193"/>
    </row>
    <row r="33" spans="7:12" ht="15.75" thickTop="1" x14ac:dyDescent="0.25">
      <c r="G33" s="105"/>
      <c r="H33" s="106" t="s">
        <v>177</v>
      </c>
      <c r="I33" s="105"/>
      <c r="J33" s="105"/>
      <c r="K33" s="107"/>
      <c r="L33" s="107">
        <f>L31</f>
        <v>13491100</v>
      </c>
    </row>
    <row r="34" spans="7:12" x14ac:dyDescent="0.25">
      <c r="G34" s="105"/>
      <c r="H34" s="106"/>
      <c r="I34" s="105"/>
      <c r="J34" s="108"/>
      <c r="K34" s="107"/>
      <c r="L34" s="109"/>
    </row>
    <row r="35" spans="7:12" x14ac:dyDescent="0.25">
      <c r="G35" s="105"/>
      <c r="H35" s="106" t="s">
        <v>179</v>
      </c>
      <c r="I35" s="93" t="s">
        <v>180</v>
      </c>
      <c r="J35" s="108">
        <v>0.1</v>
      </c>
      <c r="K35" s="107"/>
      <c r="L35" s="109">
        <f>J35*$L$33</f>
        <v>1349110</v>
      </c>
    </row>
    <row r="36" spans="7:12" x14ac:dyDescent="0.25">
      <c r="G36" s="105"/>
      <c r="H36" s="106" t="s">
        <v>181</v>
      </c>
      <c r="I36" s="93" t="s">
        <v>180</v>
      </c>
      <c r="J36" s="108">
        <v>0.3</v>
      </c>
      <c r="K36" s="107"/>
      <c r="L36" s="109">
        <f>J36*$L$33</f>
        <v>4047330</v>
      </c>
    </row>
    <row r="37" spans="7:12" x14ac:dyDescent="0.25">
      <c r="G37" s="105"/>
      <c r="H37" s="110" t="s">
        <v>45</v>
      </c>
      <c r="I37" s="111" t="s">
        <v>157</v>
      </c>
      <c r="J37" s="111">
        <v>1500</v>
      </c>
      <c r="K37" s="112">
        <f>L37/J37</f>
        <v>12591.693333333333</v>
      </c>
      <c r="L37" s="112">
        <f>SUM(L33:L36)</f>
        <v>18887540</v>
      </c>
    </row>
    <row r="38" spans="7:12" x14ac:dyDescent="0.25">
      <c r="G38" s="105"/>
      <c r="H38" s="113"/>
      <c r="I38" s="105"/>
      <c r="J38" s="105"/>
      <c r="K38" s="107"/>
      <c r="L38" s="107"/>
    </row>
    <row r="39" spans="7:12" x14ac:dyDescent="0.25">
      <c r="G39" s="192"/>
      <c r="H39" s="192"/>
      <c r="I39" s="192"/>
      <c r="J39" s="192"/>
      <c r="K39" s="192"/>
      <c r="L39" s="192"/>
    </row>
    <row r="40" spans="7:12" x14ac:dyDescent="0.25">
      <c r="G40" s="194" t="s">
        <v>182</v>
      </c>
      <c r="H40" s="194"/>
      <c r="I40" s="194"/>
      <c r="J40" s="194"/>
      <c r="K40" s="194"/>
      <c r="L40" s="194"/>
    </row>
    <row r="41" spans="7:12" x14ac:dyDescent="0.25">
      <c r="G41" s="194"/>
      <c r="H41" s="194"/>
      <c r="I41" s="194"/>
      <c r="J41" s="194"/>
      <c r="K41" s="194"/>
      <c r="L41" s="194"/>
    </row>
    <row r="42" spans="7:12" x14ac:dyDescent="0.25">
      <c r="G42" s="194"/>
      <c r="H42" s="194"/>
      <c r="I42" s="194"/>
      <c r="J42" s="194"/>
      <c r="K42" s="194"/>
      <c r="L42" s="194"/>
    </row>
    <row r="43" spans="7:12" x14ac:dyDescent="0.25">
      <c r="G43" s="194"/>
      <c r="H43" s="194"/>
      <c r="I43" s="194"/>
      <c r="J43" s="194"/>
      <c r="K43" s="194"/>
      <c r="L43" s="194"/>
    </row>
    <row r="44" spans="7:12" x14ac:dyDescent="0.25">
      <c r="G44" s="114"/>
      <c r="H44" s="115"/>
      <c r="I44" s="115"/>
      <c r="J44" s="114"/>
      <c r="K44" s="115"/>
      <c r="L44" s="115"/>
    </row>
    <row r="45" spans="7:12" x14ac:dyDescent="0.25">
      <c r="G45" s="116" t="s">
        <v>183</v>
      </c>
      <c r="H45" s="115"/>
      <c r="I45" s="115"/>
      <c r="J45" s="114"/>
      <c r="K45" s="115"/>
      <c r="L45" s="115"/>
    </row>
    <row r="46" spans="7:12" x14ac:dyDescent="0.25">
      <c r="G46" s="115" t="s">
        <v>184</v>
      </c>
      <c r="I46" s="115"/>
      <c r="J46" s="114"/>
      <c r="K46" s="115"/>
      <c r="L46" s="115"/>
    </row>
    <row r="47" spans="7:12" x14ac:dyDescent="0.25">
      <c r="G47" s="115" t="s">
        <v>185</v>
      </c>
      <c r="I47" s="115"/>
      <c r="J47" s="114"/>
      <c r="K47" s="115"/>
      <c r="L47" s="115"/>
    </row>
    <row r="48" spans="7:12" x14ac:dyDescent="0.25">
      <c r="G48" s="115" t="s">
        <v>186</v>
      </c>
      <c r="I48" s="115"/>
      <c r="J48" s="114"/>
      <c r="K48" s="115"/>
      <c r="L48" s="115"/>
    </row>
  </sheetData>
  <mergeCells count="10">
    <mergeCell ref="I31:K31"/>
    <mergeCell ref="G32:L32"/>
    <mergeCell ref="G39:L39"/>
    <mergeCell ref="G40:L43"/>
    <mergeCell ref="A7:D7"/>
    <mergeCell ref="G3:L3"/>
    <mergeCell ref="G4:L4"/>
    <mergeCell ref="G5:L5"/>
    <mergeCell ref="G6:L6"/>
    <mergeCell ref="G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26E6A-DB75-4D4A-BD31-651222654C0B}">
  <sheetPr>
    <tabColor theme="8" tint="0.79998168889431442"/>
  </sheetPr>
  <dimension ref="A2:AL128"/>
  <sheetViews>
    <sheetView workbookViewId="0">
      <selection activeCell="I53" sqref="I53"/>
    </sheetView>
  </sheetViews>
  <sheetFormatPr defaultRowHeight="15" x14ac:dyDescent="0.25"/>
  <cols>
    <col min="1" max="1" width="46" customWidth="1"/>
    <col min="2" max="2" width="18.85546875" bestFit="1" customWidth="1"/>
    <col min="3" max="3" width="11.7109375" customWidth="1"/>
    <col min="4" max="4" width="14.7109375" customWidth="1"/>
    <col min="5" max="5" width="17" customWidth="1"/>
    <col min="6" max="6" width="25" customWidth="1"/>
    <col min="7" max="7" width="22" customWidth="1"/>
    <col min="8" max="8" width="20.28515625" bestFit="1" customWidth="1"/>
    <col min="9" max="9" width="28.28515625" customWidth="1"/>
    <col min="10" max="10" width="16.28515625" customWidth="1"/>
    <col min="11" max="11" width="17.28515625" customWidth="1"/>
    <col min="12" max="12" width="15.28515625" bestFit="1" customWidth="1"/>
    <col min="13" max="15" width="17.42578125" customWidth="1"/>
    <col min="16" max="17" width="19.28515625" customWidth="1"/>
    <col min="18" max="19" width="11" customWidth="1"/>
    <col min="20" max="20" width="10.7109375" customWidth="1"/>
    <col min="21" max="21" width="10.5703125" customWidth="1"/>
    <col min="22" max="22" width="10.85546875" customWidth="1"/>
    <col min="23" max="24" width="14" customWidth="1"/>
    <col min="25" max="25" width="10.85546875" customWidth="1"/>
    <col min="26" max="28" width="11.140625" customWidth="1"/>
    <col min="37" max="37" width="11.28515625" customWidth="1"/>
    <col min="38" max="38" width="11.7109375" customWidth="1"/>
  </cols>
  <sheetData>
    <row r="2" spans="1:6" ht="20.25" thickBot="1" x14ac:dyDescent="0.35">
      <c r="A2" s="19" t="s">
        <v>187</v>
      </c>
    </row>
    <row r="3" spans="1:6" ht="15.75" thickTop="1" x14ac:dyDescent="0.25"/>
    <row r="4" spans="1:6" ht="30" x14ac:dyDescent="0.25">
      <c r="A4" s="87" t="s">
        <v>188</v>
      </c>
      <c r="B4" s="18">
        <v>2028</v>
      </c>
    </row>
    <row r="5" spans="1:6" x14ac:dyDescent="0.25">
      <c r="A5" s="5" t="s">
        <v>189</v>
      </c>
      <c r="B5" s="18">
        <v>6</v>
      </c>
      <c r="C5" t="s">
        <v>190</v>
      </c>
    </row>
    <row r="6" spans="1:6" x14ac:dyDescent="0.25">
      <c r="A6" s="33" t="s">
        <v>191</v>
      </c>
      <c r="B6" s="3">
        <f>'Rail Diversion (No Build) - Dry'!$B$9</f>
        <v>53.5</v>
      </c>
      <c r="C6" t="s">
        <v>192</v>
      </c>
    </row>
    <row r="7" spans="1:6" x14ac:dyDescent="0.25">
      <c r="A7" s="33" t="s">
        <v>193</v>
      </c>
      <c r="B7" s="3">
        <f>'Truck Diversion (No Build)- Dry'!$B$9</f>
        <v>33.5</v>
      </c>
      <c r="C7" t="s">
        <v>194</v>
      </c>
    </row>
    <row r="8" spans="1:6" x14ac:dyDescent="0.25">
      <c r="A8" s="5" t="s">
        <v>195</v>
      </c>
      <c r="B8" s="25">
        <v>1650</v>
      </c>
      <c r="C8" t="s">
        <v>190</v>
      </c>
    </row>
    <row r="9" spans="1:6" x14ac:dyDescent="0.25">
      <c r="A9" s="5" t="s">
        <v>196</v>
      </c>
      <c r="B9" s="25">
        <f>'Inputs &amp; Parameters'!B23/'Barge - Liquid'!B8/12</f>
        <v>21.639128787878789</v>
      </c>
      <c r="C9" t="s">
        <v>190</v>
      </c>
    </row>
    <row r="10" spans="1:6" x14ac:dyDescent="0.25">
      <c r="A10" s="5" t="s">
        <v>197</v>
      </c>
      <c r="B10" s="25">
        <f>B9*12*'Inputs &amp; Parameters'!B20</f>
        <v>34065.750865891372</v>
      </c>
    </row>
    <row r="11" spans="1:6" x14ac:dyDescent="0.25">
      <c r="A11" s="123" t="s">
        <v>198</v>
      </c>
      <c r="B11" s="124">
        <f>B8*'Inputs &amp; Parameters'!$B$20*$B$9*12</f>
        <v>56208488.928720765</v>
      </c>
    </row>
    <row r="12" spans="1:6" x14ac:dyDescent="0.25">
      <c r="A12" s="5" t="s">
        <v>199</v>
      </c>
      <c r="B12" s="17">
        <f>(0.54*968*'Inputs &amp; Parameters'!$B$11)</f>
        <v>474.20847319241585</v>
      </c>
      <c r="C12" t="s">
        <v>200</v>
      </c>
    </row>
    <row r="13" spans="1:6" x14ac:dyDescent="0.25">
      <c r="A13" s="5" t="s">
        <v>201</v>
      </c>
      <c r="B13" s="126">
        <v>0.2</v>
      </c>
    </row>
    <row r="14" spans="1:6" x14ac:dyDescent="0.25">
      <c r="B14" s="125"/>
    </row>
    <row r="15" spans="1:6" ht="20.25" thickBot="1" x14ac:dyDescent="0.35">
      <c r="A15" s="19" t="s">
        <v>202</v>
      </c>
      <c r="B15" s="27" t="s">
        <v>203</v>
      </c>
      <c r="F15" t="s">
        <v>204</v>
      </c>
    </row>
    <row r="16" spans="1:6" ht="15.75" thickTop="1" x14ac:dyDescent="0.25"/>
    <row r="17" spans="1:27" x14ac:dyDescent="0.25">
      <c r="A17" s="170" t="s">
        <v>205</v>
      </c>
      <c r="B17" s="170"/>
      <c r="C17" s="13" t="s">
        <v>77</v>
      </c>
    </row>
    <row r="18" spans="1:27" x14ac:dyDescent="0.25">
      <c r="A18" s="5" t="s">
        <v>206</v>
      </c>
      <c r="B18" s="18">
        <v>22.4</v>
      </c>
      <c r="C18" s="43" t="s">
        <v>203</v>
      </c>
    </row>
    <row r="19" spans="1:27" x14ac:dyDescent="0.25">
      <c r="A19" s="5" t="s">
        <v>207</v>
      </c>
      <c r="B19" s="24">
        <v>453.59237000000002</v>
      </c>
      <c r="C19" s="5"/>
    </row>
    <row r="20" spans="1:27" x14ac:dyDescent="0.25">
      <c r="A20" s="5" t="s">
        <v>208</v>
      </c>
      <c r="B20" s="24">
        <v>675</v>
      </c>
      <c r="C20" s="27" t="s">
        <v>209</v>
      </c>
    </row>
    <row r="21" spans="1:27" ht="30" x14ac:dyDescent="0.25">
      <c r="A21" s="87" t="s">
        <v>210</v>
      </c>
      <c r="B21" s="48">
        <f>B20/'Barge - Liquid'!$B$8</f>
        <v>0.40909090909090912</v>
      </c>
      <c r="C21" s="43"/>
    </row>
    <row r="22" spans="1:27" x14ac:dyDescent="0.25">
      <c r="A22" s="5" t="s">
        <v>211</v>
      </c>
      <c r="B22" s="49">
        <f>1/B21</f>
        <v>2.4444444444444442</v>
      </c>
      <c r="C22" s="5"/>
    </row>
    <row r="23" spans="1:27" x14ac:dyDescent="0.25">
      <c r="A23" s="5" t="s">
        <v>212</v>
      </c>
      <c r="B23" s="91">
        <f>B18*B19*B22</f>
        <v>24836.702215111109</v>
      </c>
      <c r="C23" s="5"/>
    </row>
    <row r="24" spans="1:27" ht="15.75" thickBot="1" x14ac:dyDescent="0.3"/>
    <row r="25" spans="1:27" ht="30" x14ac:dyDescent="0.25">
      <c r="A25" s="45" t="s">
        <v>213</v>
      </c>
      <c r="B25" s="23">
        <v>2024</v>
      </c>
      <c r="C25" s="23">
        <f t="shared" ref="C25:AA25" si="0">B25+1</f>
        <v>2025</v>
      </c>
      <c r="D25" s="23">
        <f t="shared" si="0"/>
        <v>2026</v>
      </c>
      <c r="E25" s="23">
        <f t="shared" si="0"/>
        <v>2027</v>
      </c>
      <c r="F25" s="23">
        <f t="shared" si="0"/>
        <v>2028</v>
      </c>
      <c r="G25" s="23">
        <f t="shared" si="0"/>
        <v>2029</v>
      </c>
      <c r="H25" s="23">
        <f t="shared" si="0"/>
        <v>2030</v>
      </c>
      <c r="I25" s="23">
        <f t="shared" si="0"/>
        <v>2031</v>
      </c>
      <c r="J25" s="23">
        <f t="shared" si="0"/>
        <v>2032</v>
      </c>
      <c r="K25" s="23">
        <f t="shared" si="0"/>
        <v>2033</v>
      </c>
      <c r="L25" s="23">
        <f t="shared" si="0"/>
        <v>2034</v>
      </c>
      <c r="M25" s="23">
        <f t="shared" si="0"/>
        <v>2035</v>
      </c>
      <c r="N25" s="23"/>
      <c r="O25" s="23"/>
      <c r="P25" s="23">
        <f>M25+1</f>
        <v>2036</v>
      </c>
      <c r="Q25" s="23">
        <f t="shared" si="0"/>
        <v>2037</v>
      </c>
      <c r="R25" s="23">
        <f t="shared" si="0"/>
        <v>2038</v>
      </c>
      <c r="S25" s="23">
        <f t="shared" si="0"/>
        <v>2039</v>
      </c>
      <c r="T25" s="23">
        <f t="shared" si="0"/>
        <v>2040</v>
      </c>
      <c r="U25" s="23">
        <f t="shared" si="0"/>
        <v>2041</v>
      </c>
      <c r="V25" s="23">
        <f t="shared" si="0"/>
        <v>2042</v>
      </c>
      <c r="W25" s="23">
        <f t="shared" si="0"/>
        <v>2043</v>
      </c>
      <c r="X25" s="23">
        <f t="shared" si="0"/>
        <v>2044</v>
      </c>
      <c r="Y25" s="23">
        <f t="shared" si="0"/>
        <v>2045</v>
      </c>
      <c r="Z25" s="23">
        <f t="shared" si="0"/>
        <v>2046</v>
      </c>
      <c r="AA25" s="23">
        <f t="shared" si="0"/>
        <v>2047</v>
      </c>
    </row>
    <row r="26" spans="1:27" x14ac:dyDescent="0.25">
      <c r="A26" s="21" t="s">
        <v>214</v>
      </c>
      <c r="B26" s="50">
        <f>$B$23</f>
        <v>24836.702215111109</v>
      </c>
      <c r="C26" s="50">
        <f t="shared" ref="C26:AA26" si="1">B26</f>
        <v>24836.702215111109</v>
      </c>
      <c r="D26" s="50">
        <f t="shared" si="1"/>
        <v>24836.702215111109</v>
      </c>
      <c r="E26" s="50">
        <f t="shared" si="1"/>
        <v>24836.702215111109</v>
      </c>
      <c r="F26" s="50">
        <f t="shared" si="1"/>
        <v>24836.702215111109</v>
      </c>
      <c r="G26" s="50">
        <f t="shared" si="1"/>
        <v>24836.702215111109</v>
      </c>
      <c r="H26" s="50">
        <f t="shared" si="1"/>
        <v>24836.702215111109</v>
      </c>
      <c r="I26" s="50">
        <f t="shared" si="1"/>
        <v>24836.702215111109</v>
      </c>
      <c r="J26" s="50">
        <f t="shared" si="1"/>
        <v>24836.702215111109</v>
      </c>
      <c r="K26" s="50">
        <f t="shared" si="1"/>
        <v>24836.702215111109</v>
      </c>
      <c r="L26" s="50">
        <f t="shared" si="1"/>
        <v>24836.702215111109</v>
      </c>
      <c r="M26" s="50">
        <f t="shared" si="1"/>
        <v>24836.702215111109</v>
      </c>
      <c r="N26" s="50"/>
      <c r="O26" s="50"/>
      <c r="P26" s="50">
        <f>M26</f>
        <v>24836.702215111109</v>
      </c>
      <c r="Q26" s="50">
        <f t="shared" si="1"/>
        <v>24836.702215111109</v>
      </c>
      <c r="R26" s="50">
        <f t="shared" si="1"/>
        <v>24836.702215111109</v>
      </c>
      <c r="S26" s="50">
        <f t="shared" si="1"/>
        <v>24836.702215111109</v>
      </c>
      <c r="T26" s="50">
        <f t="shared" si="1"/>
        <v>24836.702215111109</v>
      </c>
      <c r="U26" s="50">
        <f t="shared" si="1"/>
        <v>24836.702215111109</v>
      </c>
      <c r="V26" s="50">
        <f t="shared" si="1"/>
        <v>24836.702215111109</v>
      </c>
      <c r="W26" s="50">
        <f t="shared" si="1"/>
        <v>24836.702215111109</v>
      </c>
      <c r="X26" s="50">
        <f t="shared" si="1"/>
        <v>24836.702215111109</v>
      </c>
      <c r="Y26" s="50">
        <f t="shared" si="1"/>
        <v>24836.702215111109</v>
      </c>
      <c r="Z26" s="50">
        <f t="shared" si="1"/>
        <v>24836.702215111109</v>
      </c>
      <c r="AA26" s="50">
        <f t="shared" si="1"/>
        <v>24836.702215111109</v>
      </c>
    </row>
    <row r="27" spans="1:27" x14ac:dyDescent="0.25">
      <c r="A27" s="21" t="s">
        <v>215</v>
      </c>
      <c r="B27" s="50">
        <v>0</v>
      </c>
      <c r="C27" s="50">
        <v>0</v>
      </c>
      <c r="D27" s="50">
        <v>0</v>
      </c>
      <c r="E27" s="50">
        <v>0</v>
      </c>
      <c r="F27" s="50">
        <v>0</v>
      </c>
      <c r="G27" s="50">
        <v>0</v>
      </c>
      <c r="H27" s="50">
        <v>0</v>
      </c>
      <c r="I27" s="50">
        <v>0</v>
      </c>
      <c r="J27" s="50">
        <v>0</v>
      </c>
      <c r="K27" s="50">
        <v>0</v>
      </c>
      <c r="L27" s="50">
        <v>0</v>
      </c>
      <c r="M27" s="50">
        <v>0</v>
      </c>
      <c r="N27" s="50"/>
      <c r="O27" s="50"/>
      <c r="P27" s="50">
        <v>0</v>
      </c>
      <c r="Q27" s="50">
        <v>0</v>
      </c>
      <c r="R27" s="50">
        <v>0</v>
      </c>
      <c r="S27" s="50">
        <v>0</v>
      </c>
      <c r="T27" s="50">
        <v>0</v>
      </c>
      <c r="U27" s="50">
        <v>0</v>
      </c>
      <c r="V27" s="50">
        <v>0</v>
      </c>
      <c r="W27" s="50">
        <v>0</v>
      </c>
      <c r="X27" s="50">
        <v>0</v>
      </c>
      <c r="Y27" s="50">
        <v>0</v>
      </c>
      <c r="Z27" s="50">
        <v>0</v>
      </c>
      <c r="AA27" s="50">
        <v>0</v>
      </c>
    </row>
    <row r="28" spans="1:27" x14ac:dyDescent="0.25">
      <c r="A28" s="21" t="s">
        <v>216</v>
      </c>
      <c r="B28" s="50">
        <v>0</v>
      </c>
      <c r="C28" s="50">
        <v>0</v>
      </c>
      <c r="D28" s="50">
        <v>0</v>
      </c>
      <c r="E28" s="50">
        <v>0</v>
      </c>
      <c r="F28" s="50">
        <v>0</v>
      </c>
      <c r="G28" s="50">
        <v>0</v>
      </c>
      <c r="H28" s="50">
        <v>0</v>
      </c>
      <c r="I28" s="50">
        <v>0</v>
      </c>
      <c r="J28" s="50">
        <v>0</v>
      </c>
      <c r="K28" s="50">
        <v>0</v>
      </c>
      <c r="L28" s="50">
        <v>0</v>
      </c>
      <c r="M28" s="50">
        <v>0</v>
      </c>
      <c r="N28" s="50"/>
      <c r="O28" s="50"/>
      <c r="P28" s="50">
        <v>0</v>
      </c>
      <c r="Q28" s="50">
        <v>0</v>
      </c>
      <c r="R28" s="50">
        <v>0</v>
      </c>
      <c r="S28" s="50">
        <v>0</v>
      </c>
      <c r="T28" s="50">
        <v>0</v>
      </c>
      <c r="U28" s="50">
        <v>0</v>
      </c>
      <c r="V28" s="50">
        <v>0</v>
      </c>
      <c r="W28" s="50">
        <v>0</v>
      </c>
      <c r="X28" s="50">
        <v>0</v>
      </c>
      <c r="Y28" s="50">
        <v>0</v>
      </c>
      <c r="Z28" s="50">
        <v>0</v>
      </c>
      <c r="AA28" s="50">
        <v>0</v>
      </c>
    </row>
    <row r="29" spans="1:27" x14ac:dyDescent="0.25">
      <c r="A29" s="21" t="s">
        <v>217</v>
      </c>
      <c r="B29" s="50">
        <v>0</v>
      </c>
      <c r="C29" s="50">
        <v>0</v>
      </c>
      <c r="D29" s="50">
        <v>0</v>
      </c>
      <c r="E29" s="50">
        <v>0</v>
      </c>
      <c r="F29" s="50">
        <v>0</v>
      </c>
      <c r="G29" s="50">
        <v>0</v>
      </c>
      <c r="H29" s="50">
        <v>0</v>
      </c>
      <c r="I29" s="50">
        <v>0</v>
      </c>
      <c r="J29" s="50">
        <v>0</v>
      </c>
      <c r="K29" s="50">
        <v>0</v>
      </c>
      <c r="L29" s="50">
        <v>0</v>
      </c>
      <c r="M29" s="50">
        <v>0</v>
      </c>
      <c r="N29" s="50"/>
      <c r="O29" s="50"/>
      <c r="P29" s="50">
        <v>0</v>
      </c>
      <c r="Q29" s="50">
        <v>0</v>
      </c>
      <c r="R29" s="50">
        <v>0</v>
      </c>
      <c r="S29" s="50">
        <v>0</v>
      </c>
      <c r="T29" s="50">
        <v>0</v>
      </c>
      <c r="U29" s="50">
        <v>0</v>
      </c>
      <c r="V29" s="50">
        <v>0</v>
      </c>
      <c r="W29" s="50">
        <v>0</v>
      </c>
      <c r="X29" s="50">
        <v>0</v>
      </c>
      <c r="Y29" s="50">
        <v>0</v>
      </c>
      <c r="Z29" s="50">
        <v>0</v>
      </c>
      <c r="AA29" s="50">
        <v>0</v>
      </c>
    </row>
    <row r="30" spans="1:27" x14ac:dyDescent="0.25">
      <c r="A30" s="21" t="s">
        <v>218</v>
      </c>
      <c r="B30" s="50">
        <v>0</v>
      </c>
      <c r="C30" s="50">
        <v>0</v>
      </c>
      <c r="D30" s="50">
        <v>0</v>
      </c>
      <c r="E30" s="50">
        <v>0</v>
      </c>
      <c r="F30" s="50">
        <v>0</v>
      </c>
      <c r="G30" s="50">
        <v>0</v>
      </c>
      <c r="H30" s="50">
        <v>0</v>
      </c>
      <c r="I30" s="50">
        <v>0</v>
      </c>
      <c r="J30" s="50">
        <v>0</v>
      </c>
      <c r="K30" s="50">
        <v>0</v>
      </c>
      <c r="L30" s="50">
        <v>0</v>
      </c>
      <c r="M30" s="50">
        <v>0</v>
      </c>
      <c r="N30" s="50"/>
      <c r="O30" s="50"/>
      <c r="P30" s="50">
        <v>0</v>
      </c>
      <c r="Q30" s="50">
        <v>0</v>
      </c>
      <c r="R30" s="50">
        <v>0</v>
      </c>
      <c r="S30" s="50">
        <v>0</v>
      </c>
      <c r="T30" s="50">
        <v>0</v>
      </c>
      <c r="U30" s="50">
        <v>0</v>
      </c>
      <c r="V30" s="50">
        <v>0</v>
      </c>
      <c r="W30" s="50">
        <v>0</v>
      </c>
      <c r="X30" s="50">
        <v>0</v>
      </c>
      <c r="Y30" s="50">
        <v>0</v>
      </c>
      <c r="Z30" s="50">
        <v>0</v>
      </c>
      <c r="AA30" s="50">
        <v>0</v>
      </c>
    </row>
    <row r="31" spans="1:27" ht="30" x14ac:dyDescent="0.25">
      <c r="A31" s="46" t="s">
        <v>219</v>
      </c>
      <c r="B31" s="23">
        <v>2024</v>
      </c>
      <c r="C31" s="23">
        <f t="shared" ref="C31:AA31" si="2">B31+1</f>
        <v>2025</v>
      </c>
      <c r="D31" s="23">
        <f t="shared" si="2"/>
        <v>2026</v>
      </c>
      <c r="E31" s="23">
        <f t="shared" si="2"/>
        <v>2027</v>
      </c>
      <c r="F31" s="23">
        <f t="shared" si="2"/>
        <v>2028</v>
      </c>
      <c r="G31" s="23">
        <f t="shared" si="2"/>
        <v>2029</v>
      </c>
      <c r="H31" s="23">
        <f t="shared" si="2"/>
        <v>2030</v>
      </c>
      <c r="I31" s="23">
        <f t="shared" si="2"/>
        <v>2031</v>
      </c>
      <c r="J31" s="23">
        <f t="shared" si="2"/>
        <v>2032</v>
      </c>
      <c r="K31" s="23">
        <f t="shared" si="2"/>
        <v>2033</v>
      </c>
      <c r="L31" s="23">
        <f t="shared" si="2"/>
        <v>2034</v>
      </c>
      <c r="M31" s="23">
        <f t="shared" si="2"/>
        <v>2035</v>
      </c>
      <c r="N31" s="23"/>
      <c r="O31" s="23"/>
      <c r="P31" s="23">
        <f>M31+1</f>
        <v>2036</v>
      </c>
      <c r="Q31" s="23">
        <f t="shared" si="2"/>
        <v>2037</v>
      </c>
      <c r="R31" s="23">
        <f t="shared" si="2"/>
        <v>2038</v>
      </c>
      <c r="S31" s="23">
        <f t="shared" si="2"/>
        <v>2039</v>
      </c>
      <c r="T31" s="23">
        <f t="shared" si="2"/>
        <v>2040</v>
      </c>
      <c r="U31" s="23">
        <f t="shared" si="2"/>
        <v>2041</v>
      </c>
      <c r="V31" s="23">
        <f t="shared" si="2"/>
        <v>2042</v>
      </c>
      <c r="W31" s="23">
        <f t="shared" si="2"/>
        <v>2043</v>
      </c>
      <c r="X31" s="23">
        <f t="shared" si="2"/>
        <v>2044</v>
      </c>
      <c r="Y31" s="23">
        <f t="shared" si="2"/>
        <v>2045</v>
      </c>
      <c r="Z31" s="23">
        <f t="shared" si="2"/>
        <v>2046</v>
      </c>
      <c r="AA31" s="23">
        <f t="shared" si="2"/>
        <v>2047</v>
      </c>
    </row>
    <row r="32" spans="1:27" x14ac:dyDescent="0.25">
      <c r="A32" s="21" t="s">
        <v>214</v>
      </c>
      <c r="B32" s="41">
        <f>B26/'Inputs &amp; Parameters'!$B$9</f>
        <v>2.4836702215111108E-2</v>
      </c>
      <c r="C32" s="41">
        <f>C26/'Inputs &amp; Parameters'!$B$9</f>
        <v>2.4836702215111108E-2</v>
      </c>
      <c r="D32" s="41">
        <f>D26/'Inputs &amp; Parameters'!$B$9</f>
        <v>2.4836702215111108E-2</v>
      </c>
      <c r="E32" s="41">
        <f>E26/'Inputs &amp; Parameters'!$B$9</f>
        <v>2.4836702215111108E-2</v>
      </c>
      <c r="F32" s="41">
        <f>F26/'Inputs &amp; Parameters'!$B$9</f>
        <v>2.4836702215111108E-2</v>
      </c>
      <c r="G32" s="41">
        <f>G26/'Inputs &amp; Parameters'!$B$9</f>
        <v>2.4836702215111108E-2</v>
      </c>
      <c r="H32" s="41">
        <f>H26/'Inputs &amp; Parameters'!$B$9</f>
        <v>2.4836702215111108E-2</v>
      </c>
      <c r="I32" s="41">
        <f>I26/'Inputs &amp; Parameters'!$B$9</f>
        <v>2.4836702215111108E-2</v>
      </c>
      <c r="J32" s="41">
        <f>J26/'Inputs &amp; Parameters'!$B$9</f>
        <v>2.4836702215111108E-2</v>
      </c>
      <c r="K32" s="41">
        <f>K26/'Inputs &amp; Parameters'!$B$9</f>
        <v>2.4836702215111108E-2</v>
      </c>
      <c r="L32" s="41">
        <f>L26/'Inputs &amp; Parameters'!$B$9</f>
        <v>2.4836702215111108E-2</v>
      </c>
      <c r="M32" s="41">
        <f>M26/'Inputs &amp; Parameters'!$B$9</f>
        <v>2.4836702215111108E-2</v>
      </c>
      <c r="N32" s="41"/>
      <c r="O32" s="41"/>
      <c r="P32" s="41">
        <f>P26/'Inputs &amp; Parameters'!$B$9</f>
        <v>2.4836702215111108E-2</v>
      </c>
      <c r="Q32" s="41">
        <f>Q26/'Inputs &amp; Parameters'!$B$9</f>
        <v>2.4836702215111108E-2</v>
      </c>
      <c r="R32" s="41">
        <f>R26/'Inputs &amp; Parameters'!$B$9</f>
        <v>2.4836702215111108E-2</v>
      </c>
      <c r="S32" s="41">
        <f>S26/'Inputs &amp; Parameters'!$B$9</f>
        <v>2.4836702215111108E-2</v>
      </c>
      <c r="T32" s="41">
        <f>T26/'Inputs &amp; Parameters'!$B$9</f>
        <v>2.4836702215111108E-2</v>
      </c>
      <c r="U32" s="41">
        <f>U26/'Inputs &amp; Parameters'!$B$9</f>
        <v>2.4836702215111108E-2</v>
      </c>
      <c r="V32" s="41">
        <f>V26/'Inputs &amp; Parameters'!$B$9</f>
        <v>2.4836702215111108E-2</v>
      </c>
      <c r="W32" s="41">
        <f>W26/'Inputs &amp; Parameters'!$B$9</f>
        <v>2.4836702215111108E-2</v>
      </c>
      <c r="X32" s="41">
        <f>X26/'Inputs &amp; Parameters'!$B$9</f>
        <v>2.4836702215111108E-2</v>
      </c>
      <c r="Y32" s="41">
        <f>Y26/'Inputs &amp; Parameters'!$B$9</f>
        <v>2.4836702215111108E-2</v>
      </c>
      <c r="Z32" s="41">
        <f>Z26/'Inputs &amp; Parameters'!$B$9</f>
        <v>2.4836702215111108E-2</v>
      </c>
      <c r="AA32" s="41">
        <f>AA26/'Inputs &amp; Parameters'!$B$9</f>
        <v>2.4836702215111108E-2</v>
      </c>
    </row>
    <row r="33" spans="1:27" x14ac:dyDescent="0.25">
      <c r="A33" s="21" t="s">
        <v>215</v>
      </c>
      <c r="B33" s="41">
        <f>B27/'Inputs &amp; Parameters'!$B$9</f>
        <v>0</v>
      </c>
      <c r="C33" s="41">
        <f>C27/'Inputs &amp; Parameters'!$B$9</f>
        <v>0</v>
      </c>
      <c r="D33" s="41">
        <f>D27/'Inputs &amp; Parameters'!$B$9</f>
        <v>0</v>
      </c>
      <c r="E33" s="41">
        <f>E27/'Inputs &amp; Parameters'!$B$9</f>
        <v>0</v>
      </c>
      <c r="F33" s="41">
        <f>F27/'Inputs &amp; Parameters'!$B$9</f>
        <v>0</v>
      </c>
      <c r="G33" s="41">
        <f>G27/'Inputs &amp; Parameters'!$B$9</f>
        <v>0</v>
      </c>
      <c r="H33" s="41">
        <f>H27/'Inputs &amp; Parameters'!$B$9</f>
        <v>0</v>
      </c>
      <c r="I33" s="41">
        <f>I27/'Inputs &amp; Parameters'!$B$9</f>
        <v>0</v>
      </c>
      <c r="J33" s="41">
        <f>J27/'Inputs &amp; Parameters'!$B$9</f>
        <v>0</v>
      </c>
      <c r="K33" s="41">
        <f>K27/'Inputs &amp; Parameters'!$B$9</f>
        <v>0</v>
      </c>
      <c r="L33" s="41">
        <f>L27/'Inputs &amp; Parameters'!$B$9</f>
        <v>0</v>
      </c>
      <c r="M33" s="41">
        <f>M27/'Inputs &amp; Parameters'!$B$9</f>
        <v>0</v>
      </c>
      <c r="N33" s="41"/>
      <c r="O33" s="41"/>
      <c r="P33" s="41">
        <f>P27/'Inputs &amp; Parameters'!$B$9</f>
        <v>0</v>
      </c>
      <c r="Q33" s="41">
        <f>Q27/'Inputs &amp; Parameters'!$B$9</f>
        <v>0</v>
      </c>
      <c r="R33" s="41">
        <f>R27/'Inputs &amp; Parameters'!$B$9</f>
        <v>0</v>
      </c>
      <c r="S33" s="41">
        <f>S27/'Inputs &amp; Parameters'!$B$9</f>
        <v>0</v>
      </c>
      <c r="T33" s="41">
        <f>T27/'Inputs &amp; Parameters'!$B$9</f>
        <v>0</v>
      </c>
      <c r="U33" s="41">
        <f>U27/'Inputs &amp; Parameters'!$B$9</f>
        <v>0</v>
      </c>
      <c r="V33" s="41">
        <f>V27/'Inputs &amp; Parameters'!$B$9</f>
        <v>0</v>
      </c>
      <c r="W33" s="41">
        <f>W27/'Inputs &amp; Parameters'!$B$9</f>
        <v>0</v>
      </c>
      <c r="X33" s="41">
        <f>X27/'Inputs &amp; Parameters'!$B$9</f>
        <v>0</v>
      </c>
      <c r="Y33" s="41">
        <f>Y27/'Inputs &amp; Parameters'!$B$9</f>
        <v>0</v>
      </c>
      <c r="Z33" s="41">
        <f>Z27/'Inputs &amp; Parameters'!$B$9</f>
        <v>0</v>
      </c>
      <c r="AA33" s="41">
        <f>AA27/'Inputs &amp; Parameters'!$B$9</f>
        <v>0</v>
      </c>
    </row>
    <row r="34" spans="1:27" x14ac:dyDescent="0.25">
      <c r="A34" s="21" t="s">
        <v>216</v>
      </c>
      <c r="B34" s="41">
        <f>B28/'Inputs &amp; Parameters'!$B$9</f>
        <v>0</v>
      </c>
      <c r="C34" s="41">
        <f>C28/'Inputs &amp; Parameters'!$B$9</f>
        <v>0</v>
      </c>
      <c r="D34" s="41">
        <f>D28/'Inputs &amp; Parameters'!$B$9</f>
        <v>0</v>
      </c>
      <c r="E34" s="41">
        <f>E28/'Inputs &amp; Parameters'!$B$9</f>
        <v>0</v>
      </c>
      <c r="F34" s="41">
        <f>F28/'Inputs &amp; Parameters'!$B$9</f>
        <v>0</v>
      </c>
      <c r="G34" s="41">
        <f>G28/'Inputs &amp; Parameters'!$B$9</f>
        <v>0</v>
      </c>
      <c r="H34" s="41">
        <f>H28/'Inputs &amp; Parameters'!$B$9</f>
        <v>0</v>
      </c>
      <c r="I34" s="41">
        <f>I28/'Inputs &amp; Parameters'!$B$9</f>
        <v>0</v>
      </c>
      <c r="J34" s="41">
        <f>J28/'Inputs &amp; Parameters'!$B$9</f>
        <v>0</v>
      </c>
      <c r="K34" s="41">
        <f>K28/'Inputs &amp; Parameters'!$B$9</f>
        <v>0</v>
      </c>
      <c r="L34" s="41">
        <f>L28/'Inputs &amp; Parameters'!$B$9</f>
        <v>0</v>
      </c>
      <c r="M34" s="41">
        <f>M28/'Inputs &amp; Parameters'!$B$9</f>
        <v>0</v>
      </c>
      <c r="N34" s="41"/>
      <c r="O34" s="41"/>
      <c r="P34" s="41">
        <f>P28/'Inputs &amp; Parameters'!$B$9</f>
        <v>0</v>
      </c>
      <c r="Q34" s="41">
        <f>Q28/'Inputs &amp; Parameters'!$B$9</f>
        <v>0</v>
      </c>
      <c r="R34" s="41">
        <f>R28/'Inputs &amp; Parameters'!$B$9</f>
        <v>0</v>
      </c>
      <c r="S34" s="41">
        <f>S28/'Inputs &amp; Parameters'!$B$9</f>
        <v>0</v>
      </c>
      <c r="T34" s="41">
        <f>T28/'Inputs &amp; Parameters'!$B$9</f>
        <v>0</v>
      </c>
      <c r="U34" s="41">
        <f>U28/'Inputs &amp; Parameters'!$B$9</f>
        <v>0</v>
      </c>
      <c r="V34" s="41">
        <f>V28/'Inputs &amp; Parameters'!$B$9</f>
        <v>0</v>
      </c>
      <c r="W34" s="41">
        <f>W28/'Inputs &amp; Parameters'!$B$9</f>
        <v>0</v>
      </c>
      <c r="X34" s="41">
        <f>X28/'Inputs &amp; Parameters'!$B$9</f>
        <v>0</v>
      </c>
      <c r="Y34" s="41">
        <f>Y28/'Inputs &amp; Parameters'!$B$9</f>
        <v>0</v>
      </c>
      <c r="Z34" s="41">
        <f>Z28/'Inputs &amp; Parameters'!$B$9</f>
        <v>0</v>
      </c>
      <c r="AA34" s="41">
        <f>AA28/'Inputs &amp; Parameters'!$B$9</f>
        <v>0</v>
      </c>
    </row>
    <row r="35" spans="1:27" x14ac:dyDescent="0.25">
      <c r="A35" s="21" t="s">
        <v>217</v>
      </c>
      <c r="B35" s="41">
        <f>B29/'Inputs &amp; Parameters'!$B$9</f>
        <v>0</v>
      </c>
      <c r="C35" s="41">
        <f>C29/'Inputs &amp; Parameters'!$B$9</f>
        <v>0</v>
      </c>
      <c r="D35" s="41">
        <f>D29/'Inputs &amp; Parameters'!$B$9</f>
        <v>0</v>
      </c>
      <c r="E35" s="41">
        <f>E29/'Inputs &amp; Parameters'!$B$9</f>
        <v>0</v>
      </c>
      <c r="F35" s="41">
        <f>F29/'Inputs &amp; Parameters'!$B$9</f>
        <v>0</v>
      </c>
      <c r="G35" s="41">
        <f>G29/'Inputs &amp; Parameters'!$B$9</f>
        <v>0</v>
      </c>
      <c r="H35" s="41">
        <f>H29/'Inputs &amp; Parameters'!$B$9</f>
        <v>0</v>
      </c>
      <c r="I35" s="41">
        <f>I29/'Inputs &amp; Parameters'!$B$9</f>
        <v>0</v>
      </c>
      <c r="J35" s="41">
        <f>J29/'Inputs &amp; Parameters'!$B$9</f>
        <v>0</v>
      </c>
      <c r="K35" s="41">
        <f>K29/'Inputs &amp; Parameters'!$B$9</f>
        <v>0</v>
      </c>
      <c r="L35" s="41">
        <f>L29/'Inputs &amp; Parameters'!$B$9</f>
        <v>0</v>
      </c>
      <c r="M35" s="41">
        <f>M29/'Inputs &amp; Parameters'!$B$9</f>
        <v>0</v>
      </c>
      <c r="N35" s="41"/>
      <c r="O35" s="41"/>
      <c r="P35" s="41">
        <f>P29/'Inputs &amp; Parameters'!$B$9</f>
        <v>0</v>
      </c>
      <c r="Q35" s="41">
        <f>Q29/'Inputs &amp; Parameters'!$B$9</f>
        <v>0</v>
      </c>
      <c r="R35" s="41">
        <f>R29/'Inputs &amp; Parameters'!$B$9</f>
        <v>0</v>
      </c>
      <c r="S35" s="41">
        <f>S29/'Inputs &amp; Parameters'!$B$9</f>
        <v>0</v>
      </c>
      <c r="T35" s="41">
        <f>T29/'Inputs &amp; Parameters'!$B$9</f>
        <v>0</v>
      </c>
      <c r="U35" s="41">
        <f>U29/'Inputs &amp; Parameters'!$B$9</f>
        <v>0</v>
      </c>
      <c r="V35" s="41">
        <f>V29/'Inputs &amp; Parameters'!$B$9</f>
        <v>0</v>
      </c>
      <c r="W35" s="41">
        <f>W29/'Inputs &amp; Parameters'!$B$9</f>
        <v>0</v>
      </c>
      <c r="X35" s="41">
        <f>X29/'Inputs &amp; Parameters'!$B$9</f>
        <v>0</v>
      </c>
      <c r="Y35" s="41">
        <f>Y29/'Inputs &amp; Parameters'!$B$9</f>
        <v>0</v>
      </c>
      <c r="Z35" s="41">
        <f>Z29/'Inputs &amp; Parameters'!$B$9</f>
        <v>0</v>
      </c>
      <c r="AA35" s="41">
        <f>AA29/'Inputs &amp; Parameters'!$B$9</f>
        <v>0</v>
      </c>
    </row>
    <row r="36" spans="1:27" x14ac:dyDescent="0.25">
      <c r="A36" s="21" t="s">
        <v>218</v>
      </c>
      <c r="B36" s="41">
        <f>B30/'Inputs &amp; Parameters'!$B$9</f>
        <v>0</v>
      </c>
      <c r="C36" s="41">
        <f>C30/'Inputs &amp; Parameters'!$B$9</f>
        <v>0</v>
      </c>
      <c r="D36" s="41">
        <f>D30/'Inputs &amp; Parameters'!$B$9</f>
        <v>0</v>
      </c>
      <c r="E36" s="41">
        <f>E30/'Inputs &amp; Parameters'!$B$9</f>
        <v>0</v>
      </c>
      <c r="F36" s="41">
        <f>F30/'Inputs &amp; Parameters'!$B$9</f>
        <v>0</v>
      </c>
      <c r="G36" s="41">
        <f>G30/'Inputs &amp; Parameters'!$B$9</f>
        <v>0</v>
      </c>
      <c r="H36" s="41">
        <f>H30/'Inputs &amp; Parameters'!$B$9</f>
        <v>0</v>
      </c>
      <c r="I36" s="41">
        <f>I30/'Inputs &amp; Parameters'!$B$9</f>
        <v>0</v>
      </c>
      <c r="J36" s="41">
        <f>J30/'Inputs &amp; Parameters'!$B$9</f>
        <v>0</v>
      </c>
      <c r="K36" s="41">
        <f>K30/'Inputs &amp; Parameters'!$B$9</f>
        <v>0</v>
      </c>
      <c r="L36" s="41">
        <f>L30/'Inputs &amp; Parameters'!$B$9</f>
        <v>0</v>
      </c>
      <c r="M36" s="41">
        <f>M30/'Inputs &amp; Parameters'!$B$9</f>
        <v>0</v>
      </c>
      <c r="N36" s="41"/>
      <c r="O36" s="41"/>
      <c r="P36" s="41">
        <f>P30/'Inputs &amp; Parameters'!$B$9</f>
        <v>0</v>
      </c>
      <c r="Q36" s="41">
        <f>Q30/'Inputs &amp; Parameters'!$B$9</f>
        <v>0</v>
      </c>
      <c r="R36" s="41">
        <f>R30/'Inputs &amp; Parameters'!$B$9</f>
        <v>0</v>
      </c>
      <c r="S36" s="41">
        <f>S30/'Inputs &amp; Parameters'!$B$9</f>
        <v>0</v>
      </c>
      <c r="T36" s="41">
        <f>T30/'Inputs &amp; Parameters'!$B$9</f>
        <v>0</v>
      </c>
      <c r="U36" s="41">
        <f>U30/'Inputs &amp; Parameters'!$B$9</f>
        <v>0</v>
      </c>
      <c r="V36" s="41">
        <f>V30/'Inputs &amp; Parameters'!$B$9</f>
        <v>0</v>
      </c>
      <c r="W36" s="41">
        <f>W30/'Inputs &amp; Parameters'!$B$9</f>
        <v>0</v>
      </c>
      <c r="X36" s="41">
        <f>X30/'Inputs &amp; Parameters'!$B$9</f>
        <v>0</v>
      </c>
      <c r="Y36" s="41">
        <f>Y30/'Inputs &amp; Parameters'!$B$9</f>
        <v>0</v>
      </c>
      <c r="Z36" s="41">
        <f>Z30/'Inputs &amp; Parameters'!$B$9</f>
        <v>0</v>
      </c>
      <c r="AA36" s="41">
        <f>AA30/'Inputs &amp; Parameters'!$B$9</f>
        <v>0</v>
      </c>
    </row>
    <row r="37" spans="1:27" x14ac:dyDescent="0.25">
      <c r="A37" s="46" t="s">
        <v>220</v>
      </c>
      <c r="B37" s="23">
        <v>2024</v>
      </c>
      <c r="C37" s="23">
        <f t="shared" ref="C37:AA37" si="3">B37+1</f>
        <v>2025</v>
      </c>
      <c r="D37" s="23">
        <f t="shared" si="3"/>
        <v>2026</v>
      </c>
      <c r="E37" s="23">
        <f t="shared" si="3"/>
        <v>2027</v>
      </c>
      <c r="F37" s="23">
        <f t="shared" si="3"/>
        <v>2028</v>
      </c>
      <c r="G37" s="23">
        <f t="shared" si="3"/>
        <v>2029</v>
      </c>
      <c r="H37" s="23">
        <f t="shared" si="3"/>
        <v>2030</v>
      </c>
      <c r="I37" s="23">
        <f t="shared" si="3"/>
        <v>2031</v>
      </c>
      <c r="J37" s="23">
        <f t="shared" si="3"/>
        <v>2032</v>
      </c>
      <c r="K37" s="23">
        <f t="shared" si="3"/>
        <v>2033</v>
      </c>
      <c r="L37" s="23">
        <f t="shared" si="3"/>
        <v>2034</v>
      </c>
      <c r="M37" s="23">
        <f t="shared" si="3"/>
        <v>2035</v>
      </c>
      <c r="N37" s="23"/>
      <c r="O37" s="23"/>
      <c r="P37" s="23">
        <f>M37+1</f>
        <v>2036</v>
      </c>
      <c r="Q37" s="23">
        <f t="shared" si="3"/>
        <v>2037</v>
      </c>
      <c r="R37" s="23">
        <f t="shared" si="3"/>
        <v>2038</v>
      </c>
      <c r="S37" s="23">
        <f t="shared" si="3"/>
        <v>2039</v>
      </c>
      <c r="T37" s="23">
        <f t="shared" si="3"/>
        <v>2040</v>
      </c>
      <c r="U37" s="23">
        <f t="shared" si="3"/>
        <v>2041</v>
      </c>
      <c r="V37" s="23">
        <f t="shared" si="3"/>
        <v>2042</v>
      </c>
      <c r="W37" s="23">
        <f t="shared" si="3"/>
        <v>2043</v>
      </c>
      <c r="X37" s="23">
        <f t="shared" si="3"/>
        <v>2044</v>
      </c>
      <c r="Y37" s="23">
        <f t="shared" si="3"/>
        <v>2045</v>
      </c>
      <c r="Z37" s="23">
        <f t="shared" si="3"/>
        <v>2046</v>
      </c>
      <c r="AA37" s="23">
        <f t="shared" si="3"/>
        <v>2047</v>
      </c>
    </row>
    <row r="38" spans="1:27" x14ac:dyDescent="0.25">
      <c r="A38" s="21" t="s">
        <v>214</v>
      </c>
      <c r="B38" s="6">
        <v>232.85396798284322</v>
      </c>
      <c r="C38" s="6">
        <v>237.33192890559022</v>
      </c>
      <c r="D38" s="6">
        <v>240.69039959765044</v>
      </c>
      <c r="E38" s="6">
        <v>245.16836052039741</v>
      </c>
      <c r="F38" s="6">
        <v>249.64632144314442</v>
      </c>
      <c r="G38" s="6">
        <v>253.00479213520464</v>
      </c>
      <c r="H38" s="6">
        <v>257.48275305795164</v>
      </c>
      <c r="I38" s="6">
        <v>261.96071398069864</v>
      </c>
      <c r="J38" s="6">
        <v>265.31918467275887</v>
      </c>
      <c r="K38" s="6">
        <v>269.79714559550587</v>
      </c>
      <c r="L38" s="6">
        <v>274.27510651825281</v>
      </c>
      <c r="M38" s="6">
        <v>277.63357721031309</v>
      </c>
      <c r="N38" s="6"/>
      <c r="O38" s="6"/>
      <c r="P38" s="6">
        <v>282.11153813306004</v>
      </c>
      <c r="Q38" s="6">
        <v>286.58949905580704</v>
      </c>
      <c r="R38" s="6">
        <v>289.94796974786726</v>
      </c>
      <c r="S38" s="6">
        <v>294.42593067061426</v>
      </c>
      <c r="T38" s="6">
        <v>298.90389159336127</v>
      </c>
      <c r="U38" s="6">
        <v>303.38185251610821</v>
      </c>
      <c r="V38" s="6">
        <v>307.85981343885521</v>
      </c>
      <c r="W38" s="6">
        <v>312.33777436160221</v>
      </c>
      <c r="X38" s="6">
        <v>316.81573528434916</v>
      </c>
      <c r="Y38" s="6">
        <v>321.29369620709616</v>
      </c>
      <c r="Z38" s="6">
        <v>325.77165712984316</v>
      </c>
      <c r="AA38" s="6">
        <v>331.36910828327689</v>
      </c>
    </row>
    <row r="39" spans="1:27" x14ac:dyDescent="0.25">
      <c r="A39" s="21" t="s">
        <v>215</v>
      </c>
      <c r="B39" s="6">
        <v>20100</v>
      </c>
      <c r="C39" s="6">
        <v>20300</v>
      </c>
      <c r="D39" s="6">
        <v>20600</v>
      </c>
      <c r="E39" s="6">
        <v>21000</v>
      </c>
      <c r="F39" s="6">
        <v>21300</v>
      </c>
      <c r="G39" s="6">
        <v>21700</v>
      </c>
      <c r="H39" s="6">
        <v>22000</v>
      </c>
      <c r="I39" s="6">
        <v>22000</v>
      </c>
      <c r="J39" s="6">
        <v>22000</v>
      </c>
      <c r="K39" s="6">
        <v>22000</v>
      </c>
      <c r="L39" s="6">
        <v>22000</v>
      </c>
      <c r="M39" s="6">
        <v>22000</v>
      </c>
      <c r="N39" s="6"/>
      <c r="O39" s="6"/>
      <c r="P39" s="6">
        <v>22000</v>
      </c>
      <c r="Q39" s="6">
        <v>22000</v>
      </c>
      <c r="R39" s="6">
        <v>22000</v>
      </c>
      <c r="S39" s="6">
        <v>22000</v>
      </c>
      <c r="T39" s="6">
        <v>22000</v>
      </c>
      <c r="U39" s="6">
        <v>22000</v>
      </c>
      <c r="V39" s="6">
        <v>22000</v>
      </c>
      <c r="W39" s="6">
        <v>22000</v>
      </c>
      <c r="X39" s="6">
        <v>22000</v>
      </c>
      <c r="Y39" s="6">
        <v>22000</v>
      </c>
      <c r="Z39" s="6">
        <v>22000</v>
      </c>
      <c r="AA39" s="6">
        <v>22000</v>
      </c>
    </row>
    <row r="40" spans="1:27" x14ac:dyDescent="0.25">
      <c r="A40" s="21" t="s">
        <v>216</v>
      </c>
      <c r="B40" s="6">
        <v>963200</v>
      </c>
      <c r="C40" s="6">
        <v>975500</v>
      </c>
      <c r="D40" s="6">
        <v>993500</v>
      </c>
      <c r="E40" s="6">
        <v>1011900</v>
      </c>
      <c r="F40" s="6">
        <v>1030600</v>
      </c>
      <c r="G40" s="6">
        <v>1049600</v>
      </c>
      <c r="H40" s="6">
        <v>1069000</v>
      </c>
      <c r="I40" s="6">
        <v>1069000</v>
      </c>
      <c r="J40" s="6">
        <v>1069000</v>
      </c>
      <c r="K40" s="6">
        <v>1069000</v>
      </c>
      <c r="L40" s="6">
        <v>1069000</v>
      </c>
      <c r="M40" s="6">
        <v>1069000</v>
      </c>
      <c r="N40" s="6"/>
      <c r="O40" s="6"/>
      <c r="P40" s="6">
        <v>1069000</v>
      </c>
      <c r="Q40" s="6">
        <v>1069000</v>
      </c>
      <c r="R40" s="6">
        <v>1069000</v>
      </c>
      <c r="S40" s="6">
        <v>1069000</v>
      </c>
      <c r="T40" s="6">
        <v>1069000</v>
      </c>
      <c r="U40" s="6">
        <v>1069000</v>
      </c>
      <c r="V40" s="6">
        <v>1069000</v>
      </c>
      <c r="W40" s="6">
        <v>1069000</v>
      </c>
      <c r="X40" s="6">
        <v>1069000</v>
      </c>
      <c r="Y40" s="6">
        <v>1069000</v>
      </c>
      <c r="Z40" s="6">
        <v>1069000</v>
      </c>
      <c r="AA40" s="6">
        <v>1069000</v>
      </c>
    </row>
    <row r="41" spans="1:27" x14ac:dyDescent="0.25">
      <c r="A41" s="21" t="s">
        <v>217</v>
      </c>
      <c r="B41" s="6">
        <v>53800</v>
      </c>
      <c r="C41" s="6">
        <v>54800</v>
      </c>
      <c r="D41" s="6">
        <v>56100</v>
      </c>
      <c r="E41" s="6">
        <v>57400</v>
      </c>
      <c r="F41" s="6">
        <v>58700</v>
      </c>
      <c r="G41" s="6">
        <v>60100</v>
      </c>
      <c r="H41" s="6">
        <v>61500</v>
      </c>
      <c r="I41" s="6">
        <v>61500</v>
      </c>
      <c r="J41" s="6">
        <v>61500</v>
      </c>
      <c r="K41" s="6">
        <v>61500</v>
      </c>
      <c r="L41" s="6">
        <v>61500</v>
      </c>
      <c r="M41" s="6">
        <v>61500</v>
      </c>
      <c r="N41" s="6"/>
      <c r="O41" s="6"/>
      <c r="P41" s="6">
        <v>61500</v>
      </c>
      <c r="Q41" s="6">
        <v>61500</v>
      </c>
      <c r="R41" s="6">
        <v>61500</v>
      </c>
      <c r="S41" s="6">
        <v>61500</v>
      </c>
      <c r="T41" s="6">
        <v>61500</v>
      </c>
      <c r="U41" s="6">
        <v>61500</v>
      </c>
      <c r="V41" s="6">
        <v>61500</v>
      </c>
      <c r="W41" s="6">
        <v>61500</v>
      </c>
      <c r="X41" s="6">
        <v>61500</v>
      </c>
      <c r="Y41" s="6">
        <v>61500</v>
      </c>
      <c r="Z41" s="6">
        <v>61500</v>
      </c>
      <c r="AA41" s="6">
        <v>61500</v>
      </c>
    </row>
    <row r="42" spans="1:27" ht="15.75" thickBot="1" x14ac:dyDescent="0.3">
      <c r="A42" s="22" t="s">
        <v>218</v>
      </c>
      <c r="B42" s="6">
        <v>2500</v>
      </c>
      <c r="C42" s="6">
        <v>2500</v>
      </c>
      <c r="D42" s="6">
        <v>2500</v>
      </c>
      <c r="E42" s="6">
        <v>2500</v>
      </c>
      <c r="F42" s="6">
        <v>2500</v>
      </c>
      <c r="G42" s="6">
        <v>2500</v>
      </c>
      <c r="H42" s="6">
        <v>2500</v>
      </c>
      <c r="I42" s="6">
        <v>2500</v>
      </c>
      <c r="J42" s="6">
        <v>2500</v>
      </c>
      <c r="K42" s="6">
        <v>2500</v>
      </c>
      <c r="L42" s="6">
        <v>2500</v>
      </c>
      <c r="M42" s="6">
        <v>2500</v>
      </c>
      <c r="N42" s="6"/>
      <c r="O42" s="6"/>
      <c r="P42" s="6">
        <v>2500</v>
      </c>
      <c r="Q42" s="6">
        <v>2500</v>
      </c>
      <c r="R42" s="6">
        <v>2500</v>
      </c>
      <c r="S42" s="6">
        <v>2500</v>
      </c>
      <c r="T42" s="6">
        <v>2500</v>
      </c>
      <c r="U42" s="6">
        <v>2500</v>
      </c>
      <c r="V42" s="6">
        <v>2500</v>
      </c>
      <c r="W42" s="6">
        <v>2500</v>
      </c>
      <c r="X42" s="6">
        <v>2500</v>
      </c>
      <c r="Y42" s="6">
        <v>2500</v>
      </c>
      <c r="Z42" s="6">
        <v>2500</v>
      </c>
      <c r="AA42" s="6">
        <v>2500</v>
      </c>
    </row>
    <row r="43" spans="1:27" x14ac:dyDescent="0.25">
      <c r="A43" s="4" t="s">
        <v>221</v>
      </c>
    </row>
    <row r="44" spans="1:27" x14ac:dyDescent="0.25">
      <c r="A44" s="4"/>
    </row>
    <row r="45" spans="1:27" ht="20.25" thickBot="1" x14ac:dyDescent="0.35">
      <c r="A45" s="19" t="s">
        <v>222</v>
      </c>
    </row>
    <row r="46" spans="1:27" ht="15.75" thickTop="1" x14ac:dyDescent="0.25"/>
    <row r="47" spans="1:27" x14ac:dyDescent="0.25">
      <c r="A47" s="196"/>
      <c r="B47" s="197"/>
      <c r="C47" s="171"/>
      <c r="D47" s="171"/>
      <c r="E47" s="170"/>
      <c r="F47" s="170"/>
    </row>
    <row r="48" spans="1:27" ht="45" x14ac:dyDescent="0.25">
      <c r="A48" s="14" t="s">
        <v>42</v>
      </c>
      <c r="B48" s="15" t="s">
        <v>223</v>
      </c>
      <c r="C48" s="14" t="s">
        <v>224</v>
      </c>
      <c r="D48" s="14" t="s">
        <v>225</v>
      </c>
      <c r="E48" s="14" t="s">
        <v>224</v>
      </c>
      <c r="F48" s="14" t="s">
        <v>225</v>
      </c>
    </row>
    <row r="49" spans="1:6" x14ac:dyDescent="0.25">
      <c r="A49" s="12">
        <v>2002</v>
      </c>
      <c r="B49" s="25">
        <v>293626000000</v>
      </c>
      <c r="C49" s="25">
        <v>8</v>
      </c>
      <c r="D49" s="25">
        <v>17</v>
      </c>
      <c r="E49" s="5"/>
      <c r="F49" s="5"/>
    </row>
    <row r="50" spans="1:6" x14ac:dyDescent="0.25">
      <c r="A50" s="12">
        <v>2003</v>
      </c>
      <c r="B50" s="25">
        <v>278360000000</v>
      </c>
      <c r="C50" s="25">
        <v>2</v>
      </c>
      <c r="D50" s="25">
        <v>14</v>
      </c>
      <c r="E50" s="5"/>
      <c r="F50" s="5"/>
    </row>
    <row r="51" spans="1:6" x14ac:dyDescent="0.25">
      <c r="A51" s="12">
        <v>2004</v>
      </c>
      <c r="B51" s="25">
        <v>284162000000</v>
      </c>
      <c r="C51" s="25">
        <v>2</v>
      </c>
      <c r="D51" s="25">
        <v>34</v>
      </c>
      <c r="E51" s="5"/>
      <c r="F51" s="5"/>
    </row>
    <row r="52" spans="1:6" x14ac:dyDescent="0.25">
      <c r="A52" s="12">
        <v>2005</v>
      </c>
      <c r="B52" s="25">
        <v>274366000000</v>
      </c>
      <c r="C52" s="25">
        <v>11</v>
      </c>
      <c r="D52" s="25">
        <v>21</v>
      </c>
      <c r="E52" s="5"/>
      <c r="F52" s="5"/>
    </row>
    <row r="53" spans="1:6" x14ac:dyDescent="0.25">
      <c r="A53" s="12">
        <v>2006</v>
      </c>
      <c r="B53" s="25">
        <v>279858000000</v>
      </c>
      <c r="C53" s="25">
        <v>8</v>
      </c>
      <c r="D53" s="25">
        <v>22</v>
      </c>
      <c r="E53" s="5"/>
      <c r="F53" s="5"/>
    </row>
    <row r="54" spans="1:6" x14ac:dyDescent="0.25">
      <c r="A54" s="12">
        <v>2007</v>
      </c>
      <c r="B54" s="25"/>
      <c r="C54" s="25" t="s">
        <v>226</v>
      </c>
      <c r="D54" s="25"/>
      <c r="E54" s="5"/>
      <c r="F54" s="5"/>
    </row>
    <row r="55" spans="1:6" x14ac:dyDescent="0.25">
      <c r="A55" s="5" t="s">
        <v>227</v>
      </c>
      <c r="B55" s="5"/>
      <c r="C55" s="10">
        <v>11</v>
      </c>
      <c r="D55" s="10">
        <v>34</v>
      </c>
      <c r="E55" s="56">
        <f>C55/B52</f>
        <v>4.0092431277928022E-11</v>
      </c>
      <c r="F55" s="55">
        <f>D55/B51</f>
        <v>1.1965005876929357E-10</v>
      </c>
    </row>
    <row r="56" spans="1:6" x14ac:dyDescent="0.25">
      <c r="A56" s="198" t="s">
        <v>228</v>
      </c>
      <c r="B56" s="198"/>
      <c r="C56" s="198"/>
      <c r="D56" s="198"/>
      <c r="E56" s="198"/>
      <c r="F56" s="198"/>
    </row>
    <row r="57" spans="1:6" x14ac:dyDescent="0.25">
      <c r="A57" s="195" t="s">
        <v>229</v>
      </c>
      <c r="B57" s="195"/>
      <c r="C57" s="195"/>
      <c r="D57" s="195"/>
      <c r="E57" s="195"/>
      <c r="F57" s="195"/>
    </row>
    <row r="59" spans="1:6" ht="20.25" thickBot="1" x14ac:dyDescent="0.35">
      <c r="A59" s="19" t="s">
        <v>230</v>
      </c>
    </row>
    <row r="60" spans="1:6" ht="15.75" thickTop="1" x14ac:dyDescent="0.25"/>
    <row r="61" spans="1:6" x14ac:dyDescent="0.25">
      <c r="A61" s="5" t="s">
        <v>407</v>
      </c>
      <c r="B61" s="25">
        <f>$B$9*(1.5/24)</f>
        <v>1.3524455492424243</v>
      </c>
      <c r="C61" t="s">
        <v>409</v>
      </c>
    </row>
    <row r="62" spans="1:6" ht="30" x14ac:dyDescent="0.25">
      <c r="A62" s="87" t="s">
        <v>384</v>
      </c>
      <c r="B62" s="156">
        <v>8583</v>
      </c>
      <c r="C62" s="27" t="s">
        <v>383</v>
      </c>
    </row>
    <row r="63" spans="1:6" x14ac:dyDescent="0.25">
      <c r="A63" s="5" t="s">
        <v>382</v>
      </c>
      <c r="B63" s="18">
        <v>98</v>
      </c>
      <c r="C63" t="s">
        <v>406</v>
      </c>
    </row>
    <row r="64" spans="1:6" x14ac:dyDescent="0.25">
      <c r="A64" s="5" t="s">
        <v>404</v>
      </c>
      <c r="B64" s="25">
        <v>9</v>
      </c>
      <c r="C64" t="s">
        <v>405</v>
      </c>
    </row>
    <row r="65" spans="1:38" x14ac:dyDescent="0.25">
      <c r="A65" s="5" t="s">
        <v>231</v>
      </c>
      <c r="B65" s="17">
        <f>77000*0.5</f>
        <v>38500</v>
      </c>
      <c r="C65" t="s">
        <v>232</v>
      </c>
    </row>
    <row r="66" spans="1:38" x14ac:dyDescent="0.25">
      <c r="A66" s="5" t="s">
        <v>233</v>
      </c>
      <c r="B66" s="126">
        <v>0.5</v>
      </c>
      <c r="C66" t="s">
        <v>234</v>
      </c>
    </row>
    <row r="67" spans="1:38" ht="30" x14ac:dyDescent="0.25">
      <c r="A67" s="87" t="s">
        <v>235</v>
      </c>
      <c r="B67" s="134">
        <v>77000</v>
      </c>
      <c r="C67" t="s">
        <v>237</v>
      </c>
      <c r="J67" s="160"/>
    </row>
    <row r="68" spans="1:38" x14ac:dyDescent="0.25">
      <c r="A68" s="5" t="s">
        <v>236</v>
      </c>
      <c r="B68" s="25">
        <v>24</v>
      </c>
      <c r="C68" t="s">
        <v>237</v>
      </c>
    </row>
    <row r="69" spans="1:38" x14ac:dyDescent="0.25">
      <c r="A69" s="5" t="s">
        <v>238</v>
      </c>
      <c r="B69" s="25">
        <v>1</v>
      </c>
      <c r="C69" t="s">
        <v>237</v>
      </c>
    </row>
    <row r="70" spans="1:38" x14ac:dyDescent="0.25">
      <c r="A70" s="5" t="s">
        <v>239</v>
      </c>
      <c r="B70" s="18">
        <v>25</v>
      </c>
      <c r="C70" t="s">
        <v>240</v>
      </c>
    </row>
    <row r="71" spans="1:38" x14ac:dyDescent="0.25">
      <c r="A71" s="5" t="s">
        <v>241</v>
      </c>
      <c r="B71" s="18">
        <v>30</v>
      </c>
      <c r="C71" t="s">
        <v>237</v>
      </c>
    </row>
    <row r="72" spans="1:38" x14ac:dyDescent="0.25">
      <c r="A72" s="5" t="s">
        <v>242</v>
      </c>
      <c r="B72" s="17">
        <v>15000000</v>
      </c>
      <c r="C72" t="s">
        <v>237</v>
      </c>
    </row>
    <row r="73" spans="1:38" x14ac:dyDescent="0.25">
      <c r="A73" s="5" t="s">
        <v>243</v>
      </c>
      <c r="B73" s="25">
        <v>3</v>
      </c>
      <c r="C73" t="s">
        <v>237</v>
      </c>
    </row>
    <row r="74" spans="1:38" x14ac:dyDescent="0.25">
      <c r="B74" s="76"/>
    </row>
    <row r="75" spans="1:38" ht="20.25" thickBot="1" x14ac:dyDescent="0.35">
      <c r="A75" s="19" t="s">
        <v>244</v>
      </c>
      <c r="B75" s="129"/>
    </row>
    <row r="76" spans="1:38" ht="15.75" thickTop="1" x14ac:dyDescent="0.25">
      <c r="F76" s="7"/>
    </row>
    <row r="77" spans="1:38" s="74" customFormat="1" ht="45" x14ac:dyDescent="0.25">
      <c r="A77" s="133" t="s">
        <v>42</v>
      </c>
      <c r="B77" s="15" t="s">
        <v>245</v>
      </c>
      <c r="C77" s="15" t="s">
        <v>246</v>
      </c>
      <c r="D77" s="15" t="s">
        <v>247</v>
      </c>
      <c r="F77" s="15" t="s">
        <v>48</v>
      </c>
      <c r="G77" s="15" t="s">
        <v>67</v>
      </c>
      <c r="H77" s="15" t="s">
        <v>248</v>
      </c>
      <c r="I77" s="15" t="s">
        <v>249</v>
      </c>
      <c r="J77" s="15" t="s">
        <v>250</v>
      </c>
      <c r="K77" s="15" t="s">
        <v>251</v>
      </c>
      <c r="L77" s="15" t="s">
        <v>252</v>
      </c>
      <c r="M77" s="15" t="s">
        <v>253</v>
      </c>
      <c r="N77" s="15" t="s">
        <v>385</v>
      </c>
      <c r="O77" s="15" t="s">
        <v>386</v>
      </c>
      <c r="P77" s="15" t="s">
        <v>45</v>
      </c>
      <c r="Q77" s="15" t="s">
        <v>33</v>
      </c>
      <c r="S77" s="15" t="s">
        <v>214</v>
      </c>
      <c r="T77" s="15" t="s">
        <v>254</v>
      </c>
      <c r="U77" s="15" t="s">
        <v>215</v>
      </c>
      <c r="V77" s="15" t="s">
        <v>255</v>
      </c>
      <c r="W77" s="15" t="s">
        <v>216</v>
      </c>
      <c r="X77" s="15" t="s">
        <v>256</v>
      </c>
      <c r="Y77" s="15" t="s">
        <v>217</v>
      </c>
      <c r="Z77" s="15" t="s">
        <v>257</v>
      </c>
      <c r="AA77" s="15" t="s">
        <v>45</v>
      </c>
      <c r="AB77" s="15" t="s">
        <v>33</v>
      </c>
      <c r="AD77" s="15" t="s">
        <v>258</v>
      </c>
      <c r="AE77" s="15" t="s">
        <v>259</v>
      </c>
      <c r="AF77" s="15" t="s">
        <v>260</v>
      </c>
      <c r="AG77" s="15" t="s">
        <v>261</v>
      </c>
      <c r="AH77" s="15" t="s">
        <v>45</v>
      </c>
      <c r="AI77" s="15" t="s">
        <v>33</v>
      </c>
      <c r="AK77" s="15" t="s">
        <v>45</v>
      </c>
      <c r="AL77" s="15" t="s">
        <v>33</v>
      </c>
    </row>
    <row r="78" spans="1:38" x14ac:dyDescent="0.25">
      <c r="A78" s="84">
        <f>B4</f>
        <v>2028</v>
      </c>
      <c r="B78" s="85">
        <f t="shared" ref="B78:B97" si="4">$B$9*12</f>
        <v>259.66954545454547</v>
      </c>
      <c r="C78" s="85">
        <f>B78*'Inputs &amp; Parameters'!$C$20/60</f>
        <v>4674.0518181818188</v>
      </c>
      <c r="D78" s="85">
        <f>B78*'Inputs &amp; Parameters'!$B$20</f>
        <v>34065.750865891372</v>
      </c>
      <c r="E78" s="90"/>
      <c r="F78" s="86">
        <f>(($B$10/$B$21)*'Inputs &amp; Parameters'!$B$7 + ('Barge - Liquid'!$B$72/'Barge - Liquid'!$B$70)*'Barge - Liquid'!$B$73)</f>
        <v>2013925.3452709387</v>
      </c>
      <c r="G78" s="86">
        <f>(($B$10/$B$21)*'Inputs &amp; Parameters'!$B$7 + ('Barge - Liquid'!$B$72/'Barge - Liquid'!$B$70)*'Barge - Liquid'!$B$73)*VLOOKUP($A78,NPV!$B$3:$C$44,2,0)</f>
        <v>1676839.0369729612</v>
      </c>
      <c r="H78" s="86">
        <f>SUM(($B$5-1)*C78*$B$7,1*C78*$B$6)</f>
        <v>1032965.451818182</v>
      </c>
      <c r="I78" s="86">
        <f>SUM(($B$5-1)*C78*$B$7,1*C78*$B$6)*VLOOKUP($A78,NPV!$B$3:$C$44,2,0)</f>
        <v>860070.01079780038</v>
      </c>
      <c r="J78" s="86">
        <f>($B$65*(1+$B$66))+($B$67/2)</f>
        <v>96250</v>
      </c>
      <c r="K78" s="86">
        <f>J78*VLOOKUP($A78,NPV!$B$3:$C$44,2,0)</f>
        <v>80139.890829436146</v>
      </c>
      <c r="L78" s="86">
        <f t="shared" ref="L78:L97" si="5">(B78*($B$12*$B$8))*($B$13/365)*($B$68/24)</f>
        <v>111329.79333125385</v>
      </c>
      <c r="M78" s="86">
        <f>(B78*($B$12*$B$8))*($B$13/365)*($B$68/24)*VLOOKUP($A78,NPV!$B$3:$C$44,2,0)</f>
        <v>92695.662167588278</v>
      </c>
      <c r="N78" s="86">
        <f>$B$63*(1/$B$64)*$B$62*$B$61</f>
        <v>126398.65940183081</v>
      </c>
      <c r="O78" s="86">
        <f>N78*VLOOKUP($A78,NPV!$B$3:$C$44,2,0)</f>
        <v>105242.33522545251</v>
      </c>
      <c r="P78" s="86">
        <f>SUM(F78,H78,J78,L78,N78)</f>
        <v>3380869.2498222054</v>
      </c>
      <c r="Q78" s="86">
        <f>SUM(G78,I78,K78,M78,O78)</f>
        <v>2814986.9359932384</v>
      </c>
      <c r="R78" s="8"/>
      <c r="S78" s="86">
        <f>$D78*HLOOKUP($A78,'Barge - Liquid'!$A$31:$AA$36,2,FALSE)*HLOOKUP($A78,'Barge - Liquid'!$A$37:$AA$42,2,FALSE)</f>
        <v>211220.98682234844</v>
      </c>
      <c r="T78" s="86">
        <f>$D78*HLOOKUP($A78,'Barge - Liquid'!$A$31:$AA$36,2,FALSE)*HLOOKUP($A78,'Barge - Liquid'!$A$37:$AA$42,2,FALSE)*VLOOKUP($A78,NPV!$B$3:$D$44,3,0)</f>
        <v>187558.1916153722</v>
      </c>
      <c r="U78" s="86">
        <f>$D78*HLOOKUP($A78,'Barge - Liquid'!$A$31:$AA$36,3,FALSE)*HLOOKUP($A78,'Barge - Liquid'!$A$37:$AA$42,3,FALSE)</f>
        <v>0</v>
      </c>
      <c r="V78" s="86">
        <f>$D78*HLOOKUP($A78,'Barge - Liquid'!$A$31:$AA$36,3,FALSE)*HLOOKUP($A78,'Barge - Liquid'!$A$37:$AA$42,3,FALSE)*VLOOKUP($A78,NPV!$B$3:$C$44,2,0)</f>
        <v>0</v>
      </c>
      <c r="W78" s="86">
        <f>$D78*HLOOKUP($A78,'Barge - Liquid'!$A$31:$AA$36,4,FALSE)*HLOOKUP($A78,'Barge - Liquid'!$A$37:$AA$42,4,FALSE)</f>
        <v>0</v>
      </c>
      <c r="X78" s="86">
        <f>$D78*HLOOKUP($A78,'Barge - Liquid'!$A$31:$AA$36,4,FALSE)*HLOOKUP($A78,'Barge - Liquid'!$A$37:$AA$42,4,FALSE)*VLOOKUP($A78,NPV!$B$3:$C$44,2,0)</f>
        <v>0</v>
      </c>
      <c r="Y78" s="86">
        <f>$D78*HLOOKUP($A78,'Barge - Liquid'!$A$31:$AA$36,5,FALSE)*HLOOKUP($A78,'Barge - Liquid'!$A$37:$AA$42,5,FALSE)</f>
        <v>0</v>
      </c>
      <c r="Z78" s="86">
        <f>$D78*HLOOKUP($A78,'Barge - Liquid'!$A$31:$AA$36,5,FALSE)*HLOOKUP($A78,'Barge - Liquid'!$A$37:$AA$42,5,FALSE)*VLOOKUP($A78,NPV!$B$3:$C$44,2,0)</f>
        <v>0</v>
      </c>
      <c r="AA78" s="86">
        <f>SUM(S78,U78,W78,Y78)</f>
        <v>211220.98682234844</v>
      </c>
      <c r="AB78" s="86">
        <f>SUM(T78,V78,X78,Z78)</f>
        <v>187558.1916153722</v>
      </c>
      <c r="AD78" s="86">
        <f>$B$11*'Barge - Liquid'!$F$55*'Inputs &amp; Parameters'!$B$45</f>
        <v>1463.4359431952466</v>
      </c>
      <c r="AE78" s="86">
        <f>$B$11*'Barge - Liquid'!$F$55*'Inputs &amp; Parameters'!$B$45*VLOOKUP($A78,NPV!$B$3:$C$44,2,0)</f>
        <v>1218.4893166082077</v>
      </c>
      <c r="AF78" s="86">
        <f>$B$11*'Barge - Liquid'!$E$55*'Inputs &amp; Parameters'!$B$44</f>
        <v>28169.18724513644</v>
      </c>
      <c r="AG78" s="86">
        <f>$B$11*'Barge - Liquid'!$E$55*'Inputs &amp; Parameters'!$B$44*VLOOKUP($A78,NPV!$B$3:$C$44,2,0)</f>
        <v>23454.291850173293</v>
      </c>
      <c r="AH78" s="86">
        <f>SUM(AD78,AF78)</f>
        <v>29632.623188331687</v>
      </c>
      <c r="AI78" s="86">
        <f>SUM(AE78,AG78)</f>
        <v>24672.7811667815</v>
      </c>
      <c r="AK78" s="86">
        <f t="shared" ref="AK78:AK97" si="6">SUM(P78,AA78,AH78)</f>
        <v>3621722.8598328857</v>
      </c>
      <c r="AL78" s="86">
        <f t="shared" ref="AL78:AL97" si="7">SUM(Q78,AB78,AI78)</f>
        <v>3027217.908775392</v>
      </c>
    </row>
    <row r="79" spans="1:38" x14ac:dyDescent="0.25">
      <c r="A79" s="5">
        <f t="shared" ref="A79:A97" si="8">A78+1</f>
        <v>2029</v>
      </c>
      <c r="B79" s="10">
        <f t="shared" si="4"/>
        <v>259.66954545454547</v>
      </c>
      <c r="C79" s="10">
        <f>B79*'Inputs &amp; Parameters'!$C$20/60</f>
        <v>4674.0518181818188</v>
      </c>
      <c r="D79" s="10">
        <f>B79*'Inputs &amp; Parameters'!$B$20</f>
        <v>34065.750865891372</v>
      </c>
      <c r="F79" s="86">
        <f>(($B$10/$B$21)*'Inputs &amp; Parameters'!$B$7 + ('Barge - Liquid'!$B$72/'Barge - Liquid'!$B$70)*'Barge - Liquid'!$B$73)</f>
        <v>2013925.3452709387</v>
      </c>
      <c r="G79" s="86">
        <f>(($B$10/$B$21)*'Inputs &amp; Parameters'!$B$7 + ('Barge - Liquid'!$B$72/'Barge - Liquid'!$B$70)*'Barge - Liquid'!$B$73)*VLOOKUP($A79,NPV!$B$3:$C$44,2,0)</f>
        <v>1626420.0164626203</v>
      </c>
      <c r="H79" s="86">
        <f t="shared" ref="H79:H97" si="9">SUM(($B$5-1)*C79*$B$7,1*C79*$B$6)</f>
        <v>1032965.451818182</v>
      </c>
      <c r="I79" s="86">
        <f>SUM(($B$5-1)*C79*$B$7,1*C79*$B$6)*VLOOKUP($A79,NPV!$B$3:$C$44,2,0)</f>
        <v>834209.51580775995</v>
      </c>
      <c r="J79" s="86">
        <f t="shared" ref="J79:J97" si="10">($B$65*(1+$B$66))+($B$67/2)</f>
        <v>96250</v>
      </c>
      <c r="K79" s="86">
        <f>J79*VLOOKUP($A79,NPV!$B$3:$C$44,2,0)</f>
        <v>77730.252986843989</v>
      </c>
      <c r="L79" s="86">
        <f t="shared" si="5"/>
        <v>111329.79333125385</v>
      </c>
      <c r="M79" s="86">
        <f>(B79*($B$12*$B$8))*($B$13/365)*($B$68/24)*VLOOKUP($A79,NPV!$B$3:$C$44,2,0)</f>
        <v>89908.498707651102</v>
      </c>
      <c r="N79" s="86">
        <f t="shared" ref="N79:N97" si="11">$B$63*(1/$B$64)*$B$62*$B$61</f>
        <v>126398.65940183081</v>
      </c>
      <c r="O79" s="86">
        <f>N79*VLOOKUP($A79,NPV!$B$3:$C$44,2,0)</f>
        <v>102077.91971430894</v>
      </c>
      <c r="P79" s="86">
        <f t="shared" ref="P79:P97" si="12">SUM(F79,H79,J79,L79,N79)</f>
        <v>3380869.2498222054</v>
      </c>
      <c r="Q79" s="86">
        <f t="shared" ref="Q79:Q97" si="13">SUM(G79,I79,K79,M79,O79)</f>
        <v>2730346.2036791844</v>
      </c>
      <c r="R79" s="8"/>
      <c r="S79" s="86">
        <f>$D79*HLOOKUP($A79,'Barge - Liquid'!$A$31:$AA$36,2,FALSE)*HLOOKUP($A79,'Barge - Liquid'!$A$37:$AA$42,2,FALSE)</f>
        <v>214062.52476166253</v>
      </c>
      <c r="T79" s="86">
        <f>$D79*HLOOKUP($A79,'Barge - Liquid'!$A$31:$AA$36,2,FALSE)*HLOOKUP($A79,'Barge - Liquid'!$A$37:$AA$42,2,FALSE)*VLOOKUP($A79,NPV!$B$3:$D$44,3,0)</f>
        <v>186354.3097910583</v>
      </c>
      <c r="U79" s="86">
        <f>$D79*HLOOKUP($A79,'Barge - Liquid'!$A$31:$AA$36,3,FALSE)*HLOOKUP($A79,'Barge - Liquid'!$A$37:$AA$42,3,FALSE)</f>
        <v>0</v>
      </c>
      <c r="V79" s="86">
        <f>$D79*HLOOKUP($A79,'Barge - Liquid'!$A$31:$AA$36,3,FALSE)*HLOOKUP($A79,'Barge - Liquid'!$A$37:$AA$42,3,FALSE)*VLOOKUP($A79,NPV!$B$3:$C$44,2,0)</f>
        <v>0</v>
      </c>
      <c r="W79" s="86">
        <f>$D79*HLOOKUP($A79,'Barge - Liquid'!$A$31:$AA$36,4,FALSE)*HLOOKUP($A79,'Barge - Liquid'!$A$37:$AA$42,4,FALSE)</f>
        <v>0</v>
      </c>
      <c r="X79" s="86">
        <f>$D79*HLOOKUP($A79,'Barge - Liquid'!$A$31:$AA$36,4,FALSE)*HLOOKUP($A79,'Barge - Liquid'!$A$37:$AA$42,4,FALSE)*VLOOKUP($A79,NPV!$B$3:$C$44,2,0)</f>
        <v>0</v>
      </c>
      <c r="Y79" s="86">
        <f>$D79*HLOOKUP($A79,'Barge - Liquid'!$A$31:$AA$36,5,FALSE)*HLOOKUP($A79,'Barge - Liquid'!$A$37:$AA$42,5,FALSE)</f>
        <v>0</v>
      </c>
      <c r="Z79" s="86">
        <f>$D79*HLOOKUP($A79,'Barge - Liquid'!$A$31:$AA$36,5,FALSE)*HLOOKUP($A79,'Barge - Liquid'!$A$37:$AA$42,5,FALSE)*VLOOKUP($A79,NPV!$B$3:$C$44,2,0)</f>
        <v>0</v>
      </c>
      <c r="AA79" s="86">
        <f t="shared" ref="AA79:AA97" si="14">SUM(S79,U79,W79,Y79)</f>
        <v>214062.52476166253</v>
      </c>
      <c r="AB79" s="86">
        <f t="shared" ref="AB79:AB97" si="15">SUM(T79,V79,X79,Z79)</f>
        <v>186354.3097910583</v>
      </c>
      <c r="AD79" s="86">
        <f>$B$11*'Barge - Liquid'!$F$55*'Inputs &amp; Parameters'!$B$45</f>
        <v>1463.4359431952466</v>
      </c>
      <c r="AE79" s="86">
        <f>$B$11*'Barge - Liquid'!$F$55*'Inputs &amp; Parameters'!$B$45*VLOOKUP($A79,NPV!$B$3:$C$44,2,0)</f>
        <v>1181.8519074764381</v>
      </c>
      <c r="AF79" s="86">
        <f>$B$11*'Barge - Liquid'!$E$55*'Inputs &amp; Parameters'!$B$44</f>
        <v>28169.18724513644</v>
      </c>
      <c r="AG79" s="86">
        <f>$B$11*'Barge - Liquid'!$E$55*'Inputs &amp; Parameters'!$B$44*VLOOKUP($A79,NPV!$B$3:$C$44,2,0)</f>
        <v>22749.070659721918</v>
      </c>
      <c r="AH79" s="86">
        <f t="shared" ref="AH79:AH97" si="16">SUM(AD79,AF79)</f>
        <v>29632.623188331687</v>
      </c>
      <c r="AI79" s="86">
        <f t="shared" ref="AI79:AI97" si="17">SUM(AE79,AG79)</f>
        <v>23930.922567198355</v>
      </c>
      <c r="AK79" s="16">
        <f t="shared" si="6"/>
        <v>3624564.3977721995</v>
      </c>
      <c r="AL79" s="16">
        <f t="shared" si="7"/>
        <v>2940631.4360374412</v>
      </c>
    </row>
    <row r="80" spans="1:38" x14ac:dyDescent="0.25">
      <c r="A80" s="5">
        <f t="shared" si="8"/>
        <v>2030</v>
      </c>
      <c r="B80" s="10">
        <f t="shared" si="4"/>
        <v>259.66954545454547</v>
      </c>
      <c r="C80" s="10">
        <f>B80*'Inputs &amp; Parameters'!$C$20/60</f>
        <v>4674.0518181818188</v>
      </c>
      <c r="D80" s="10">
        <f>B80*'Inputs &amp; Parameters'!$B$20</f>
        <v>34065.750865891372</v>
      </c>
      <c r="F80" s="86">
        <f>(($B$10/$B$21)*'Inputs &amp; Parameters'!$B$7 + ('Barge - Liquid'!$B$72/'Barge - Liquid'!$B$70)*'Barge - Liquid'!$B$73)</f>
        <v>2013925.3452709387</v>
      </c>
      <c r="G80" s="86">
        <f>(($B$10/$B$21)*'Inputs &amp; Parameters'!$B$7 + ('Barge - Liquid'!$B$72/'Barge - Liquid'!$B$70)*'Barge - Liquid'!$B$73)*VLOOKUP($A80,NPV!$B$3:$C$44,2,0)</f>
        <v>1577516.9897794572</v>
      </c>
      <c r="H80" s="86">
        <f t="shared" si="9"/>
        <v>1032965.451818182</v>
      </c>
      <c r="I80" s="86">
        <f>SUM(($B$5-1)*C80*$B$7,1*C80*$B$6)*VLOOKUP($A80,NPV!$B$3:$C$44,2,0)</f>
        <v>809126.5914721241</v>
      </c>
      <c r="J80" s="86">
        <f t="shared" si="10"/>
        <v>96250</v>
      </c>
      <c r="K80" s="86">
        <f>J80*VLOOKUP($A80,NPV!$B$3:$C$44,2,0)</f>
        <v>75393.067882486896</v>
      </c>
      <c r="L80" s="86">
        <f t="shared" si="5"/>
        <v>111329.79333125385</v>
      </c>
      <c r="M80" s="86">
        <f>(B80*($B$12*$B$8))*($B$13/365)*($B$68/24)*VLOOKUP($A80,NPV!$B$3:$C$44,2,0)</f>
        <v>87205.139386664508</v>
      </c>
      <c r="N80" s="86">
        <f t="shared" si="11"/>
        <v>126398.65940183081</v>
      </c>
      <c r="O80" s="86">
        <f>N80*VLOOKUP($A80,NPV!$B$3:$C$44,2,0)</f>
        <v>99008.651517273465</v>
      </c>
      <c r="P80" s="86">
        <f t="shared" si="12"/>
        <v>3380869.2498222054</v>
      </c>
      <c r="Q80" s="86">
        <f t="shared" si="13"/>
        <v>2648250.4400380063</v>
      </c>
      <c r="R80" s="8"/>
      <c r="S80" s="86">
        <f>$D80*HLOOKUP($A80,'Barge - Liquid'!$A$31:$AA$36,2,FALSE)*HLOOKUP($A80,'Barge - Liquid'!$A$37:$AA$42,2,FALSE)</f>
        <v>217851.24201408133</v>
      </c>
      <c r="T80" s="86">
        <f>$D80*HLOOKUP($A80,'Barge - Liquid'!$A$31:$AA$36,2,FALSE)*HLOOKUP($A80,'Barge - Liquid'!$A$37:$AA$42,2,FALSE)*VLOOKUP($A80,NPV!$B$3:$D$44,3,0)</f>
        <v>185933.93741082511</v>
      </c>
      <c r="U80" s="86">
        <f>$D80*HLOOKUP($A80,'Barge - Liquid'!$A$31:$AA$36,3,FALSE)*HLOOKUP($A80,'Barge - Liquid'!$A$37:$AA$42,3,FALSE)</f>
        <v>0</v>
      </c>
      <c r="V80" s="86">
        <f>$D80*HLOOKUP($A80,'Barge - Liquid'!$A$31:$AA$36,3,FALSE)*HLOOKUP($A80,'Barge - Liquid'!$A$37:$AA$42,3,FALSE)*VLOOKUP($A80,NPV!$B$3:$C$44,2,0)</f>
        <v>0</v>
      </c>
      <c r="W80" s="86">
        <f>$D80*HLOOKUP($A80,'Barge - Liquid'!$A$31:$AA$36,4,FALSE)*HLOOKUP($A80,'Barge - Liquid'!$A$37:$AA$42,4,FALSE)</f>
        <v>0</v>
      </c>
      <c r="X80" s="86">
        <f>$D80*HLOOKUP($A80,'Barge - Liquid'!$A$31:$AA$36,4,FALSE)*HLOOKUP($A80,'Barge - Liquid'!$A$37:$AA$42,4,FALSE)*VLOOKUP($A80,NPV!$B$3:$C$44,2,0)</f>
        <v>0</v>
      </c>
      <c r="Y80" s="86">
        <f>$D80*HLOOKUP($A80,'Barge - Liquid'!$A$31:$AA$36,5,FALSE)*HLOOKUP($A80,'Barge - Liquid'!$A$37:$AA$42,5,FALSE)</f>
        <v>0</v>
      </c>
      <c r="Z80" s="86">
        <f>$D80*HLOOKUP($A80,'Barge - Liquid'!$A$31:$AA$36,5,FALSE)*HLOOKUP($A80,'Barge - Liquid'!$A$37:$AA$42,5,FALSE)*VLOOKUP($A80,NPV!$B$3:$C$44,2,0)</f>
        <v>0</v>
      </c>
      <c r="AA80" s="86">
        <f t="shared" si="14"/>
        <v>217851.24201408133</v>
      </c>
      <c r="AB80" s="86">
        <f t="shared" si="15"/>
        <v>185933.93741082511</v>
      </c>
      <c r="AD80" s="86">
        <f>$B$11*'Barge - Liquid'!$F$55*'Inputs &amp; Parameters'!$B$45</f>
        <v>1463.4359431952466</v>
      </c>
      <c r="AE80" s="86">
        <f>$B$11*'Barge - Liquid'!$F$55*'Inputs &amp; Parameters'!$B$45*VLOOKUP($A80,NPV!$B$3:$C$44,2,0)</f>
        <v>1146.3161081245764</v>
      </c>
      <c r="AF80" s="86">
        <f>$B$11*'Barge - Liquid'!$E$55*'Inputs &amp; Parameters'!$B$44</f>
        <v>28169.18724513644</v>
      </c>
      <c r="AG80" s="86">
        <f>$B$11*'Barge - Liquid'!$E$55*'Inputs &amp; Parameters'!$B$44*VLOOKUP($A80,NPV!$B$3:$C$44,2,0)</f>
        <v>22065.05398615123</v>
      </c>
      <c r="AH80" s="86">
        <f t="shared" si="16"/>
        <v>29632.623188331687</v>
      </c>
      <c r="AI80" s="86">
        <f>SUM(AE80,AG80)</f>
        <v>23211.370094275808</v>
      </c>
      <c r="AK80" s="16">
        <f t="shared" si="6"/>
        <v>3628353.1150246183</v>
      </c>
      <c r="AL80" s="16">
        <f t="shared" si="7"/>
        <v>2857395.7475431073</v>
      </c>
    </row>
    <row r="81" spans="1:38" x14ac:dyDescent="0.25">
      <c r="A81" s="5">
        <f t="shared" si="8"/>
        <v>2031</v>
      </c>
      <c r="B81" s="10">
        <f t="shared" si="4"/>
        <v>259.66954545454547</v>
      </c>
      <c r="C81" s="10">
        <f>B81*'Inputs &amp; Parameters'!$C$20/60</f>
        <v>4674.0518181818188</v>
      </c>
      <c r="D81" s="10">
        <f>B81*'Inputs &amp; Parameters'!$B$20</f>
        <v>34065.750865891372</v>
      </c>
      <c r="F81" s="86">
        <f>(($B$10/$B$21)*'Inputs &amp; Parameters'!$B$7 + ('Barge - Liquid'!$B$72/'Barge - Liquid'!$B$70)*'Barge - Liquid'!$B$73)</f>
        <v>2013925.3452709387</v>
      </c>
      <c r="G81" s="86">
        <f>(($B$10/$B$21)*'Inputs &amp; Parameters'!$B$7 + ('Barge - Liquid'!$B$72/'Barge - Liquid'!$B$70)*'Barge - Liquid'!$B$73)*VLOOKUP($A81,NPV!$B$3:$C$44,2,0)</f>
        <v>1530084.3741798811</v>
      </c>
      <c r="H81" s="86">
        <f t="shared" si="9"/>
        <v>1032965.451818182</v>
      </c>
      <c r="I81" s="86">
        <f>SUM(($B$5-1)*C81*$B$7,1*C81*$B$6)*VLOOKUP($A81,NPV!$B$3:$C$44,2,0)</f>
        <v>784797.85787790909</v>
      </c>
      <c r="J81" s="86">
        <f t="shared" si="10"/>
        <v>96250</v>
      </c>
      <c r="K81" s="86">
        <f>J81*VLOOKUP($A81,NPV!$B$3:$C$44,2,0)</f>
        <v>73126.15701502125</v>
      </c>
      <c r="L81" s="86">
        <f t="shared" si="5"/>
        <v>111329.79333125385</v>
      </c>
      <c r="M81" s="86">
        <f>(B81*($B$12*$B$8))*($B$13/365)*($B$68/24)*VLOOKUP($A81,NPV!$B$3:$C$44,2,0)</f>
        <v>84583.064390557251</v>
      </c>
      <c r="N81" s="86">
        <f t="shared" si="11"/>
        <v>126398.65940183081</v>
      </c>
      <c r="O81" s="86">
        <f>N81*VLOOKUP($A81,NPV!$B$3:$C$44,2,0)</f>
        <v>96031.669754872433</v>
      </c>
      <c r="P81" s="86">
        <f t="shared" si="12"/>
        <v>3380869.2498222054</v>
      </c>
      <c r="Q81" s="86">
        <f t="shared" si="13"/>
        <v>2568623.1232182416</v>
      </c>
      <c r="R81" s="8"/>
      <c r="S81" s="86">
        <f>$D81*HLOOKUP($A81,'Barge - Liquid'!$A$31:$AA$36,2,FALSE)*HLOOKUP($A81,'Barge - Liquid'!$A$37:$AA$42,2,FALSE)</f>
        <v>221639.95926650014</v>
      </c>
      <c r="T81" s="86">
        <f>$D81*HLOOKUP($A81,'Barge - Liquid'!$A$31:$AA$36,2,FALSE)*HLOOKUP($A81,'Barge - Liquid'!$A$37:$AA$42,2,FALSE)*VLOOKUP($A81,NPV!$B$3:$D$44,3,0)</f>
        <v>185458.40304404552</v>
      </c>
      <c r="U81" s="86">
        <f>$D81*HLOOKUP($A81,'Barge - Liquid'!$A$31:$AA$36,3,FALSE)*HLOOKUP($A81,'Barge - Liquid'!$A$37:$AA$42,3,FALSE)</f>
        <v>0</v>
      </c>
      <c r="V81" s="86">
        <f>$D81*HLOOKUP($A81,'Barge - Liquid'!$A$31:$AA$36,3,FALSE)*HLOOKUP($A81,'Barge - Liquid'!$A$37:$AA$42,3,FALSE)*VLOOKUP($A81,NPV!$B$3:$C$44,2,0)</f>
        <v>0</v>
      </c>
      <c r="W81" s="86">
        <f>$D81*HLOOKUP($A81,'Barge - Liquid'!$A$31:$AA$36,4,FALSE)*HLOOKUP($A81,'Barge - Liquid'!$A$37:$AA$42,4,FALSE)</f>
        <v>0</v>
      </c>
      <c r="X81" s="86">
        <f>$D81*HLOOKUP($A81,'Barge - Liquid'!$A$31:$AA$36,4,FALSE)*HLOOKUP($A81,'Barge - Liquid'!$A$37:$AA$42,4,FALSE)*VLOOKUP($A81,NPV!$B$3:$C$44,2,0)</f>
        <v>0</v>
      </c>
      <c r="Y81" s="86">
        <f>$D81*HLOOKUP($A81,'Barge - Liquid'!$A$31:$AA$36,5,FALSE)*HLOOKUP($A81,'Barge - Liquid'!$A$37:$AA$42,5,FALSE)</f>
        <v>0</v>
      </c>
      <c r="Z81" s="86">
        <f>$D81*HLOOKUP($A81,'Barge - Liquid'!$A$31:$AA$36,5,FALSE)*HLOOKUP($A81,'Barge - Liquid'!$A$37:$AA$42,5,FALSE)*VLOOKUP($A81,NPV!$B$3:$C$44,2,0)</f>
        <v>0</v>
      </c>
      <c r="AA81" s="86">
        <f t="shared" si="14"/>
        <v>221639.95926650014</v>
      </c>
      <c r="AB81" s="86">
        <f t="shared" si="15"/>
        <v>185458.40304404552</v>
      </c>
      <c r="AD81" s="86">
        <f>$B$11*'Barge - Liquid'!$F$55*'Inputs &amp; Parameters'!$B$45</f>
        <v>1463.4359431952466</v>
      </c>
      <c r="AE81" s="86">
        <f>$B$11*'Barge - Liquid'!$F$55*'Inputs &amp; Parameters'!$B$45*VLOOKUP($A81,NPV!$B$3:$C$44,2,0)</f>
        <v>1111.8487954651566</v>
      </c>
      <c r="AF81" s="86">
        <f>$B$11*'Barge - Liquid'!$E$55*'Inputs &amp; Parameters'!$B$44</f>
        <v>28169.18724513644</v>
      </c>
      <c r="AG81" s="86">
        <f>$B$11*'Barge - Liquid'!$E$55*'Inputs &amp; Parameters'!$B$44*VLOOKUP($A81,NPV!$B$3:$C$44,2,0)</f>
        <v>21401.604254268896</v>
      </c>
      <c r="AH81" s="86">
        <f t="shared" si="16"/>
        <v>29632.623188331687</v>
      </c>
      <c r="AI81" s="86">
        <f t="shared" si="17"/>
        <v>22513.453049734053</v>
      </c>
      <c r="AK81" s="16">
        <f t="shared" si="6"/>
        <v>3632141.8322770372</v>
      </c>
      <c r="AL81" s="16">
        <f t="shared" si="7"/>
        <v>2776594.9793120213</v>
      </c>
    </row>
    <row r="82" spans="1:38" x14ac:dyDescent="0.25">
      <c r="A82" s="5">
        <f t="shared" si="8"/>
        <v>2032</v>
      </c>
      <c r="B82" s="10">
        <f t="shared" si="4"/>
        <v>259.66954545454547</v>
      </c>
      <c r="C82" s="10">
        <f>B82*'Inputs &amp; Parameters'!$C$20/60</f>
        <v>4674.0518181818188</v>
      </c>
      <c r="D82" s="10">
        <f>B82*'Inputs &amp; Parameters'!$B$20</f>
        <v>34065.750865891372</v>
      </c>
      <c r="F82" s="86">
        <f>(($B$10/$B$21)*'Inputs &amp; Parameters'!$B$7 + ('Barge - Liquid'!$B$72/'Barge - Liquid'!$B$70)*'Barge - Liquid'!$B$73)</f>
        <v>2013925.3452709387</v>
      </c>
      <c r="G82" s="86">
        <f>(($B$10/$B$21)*'Inputs &amp; Parameters'!$B$7 + ('Barge - Liquid'!$B$72/'Barge - Liquid'!$B$70)*'Barge - Liquid'!$B$73)*VLOOKUP($A82,NPV!$B$3:$C$44,2,0)</f>
        <v>1484077.9574974598</v>
      </c>
      <c r="H82" s="86">
        <f t="shared" si="9"/>
        <v>1032965.451818182</v>
      </c>
      <c r="I82" s="86">
        <f>SUM(($B$5-1)*C82*$B$7,1*C82*$B$6)*VLOOKUP($A82,NPV!$B$3:$C$44,2,0)</f>
        <v>761200.63809690508</v>
      </c>
      <c r="J82" s="86">
        <f t="shared" si="10"/>
        <v>96250</v>
      </c>
      <c r="K82" s="86">
        <f>J82*VLOOKUP($A82,NPV!$B$3:$C$44,2,0)</f>
        <v>70927.407386053586</v>
      </c>
      <c r="L82" s="86">
        <f t="shared" si="5"/>
        <v>111329.79333125385</v>
      </c>
      <c r="M82" s="86">
        <f>(B82*($B$12*$B$8))*($B$13/365)*($B$68/24)*VLOOKUP($A82,NPV!$B$3:$C$44,2,0)</f>
        <v>82039.829670763575</v>
      </c>
      <c r="N82" s="86">
        <f t="shared" si="11"/>
        <v>126398.65940183081</v>
      </c>
      <c r="O82" s="86">
        <f>N82*VLOOKUP($A82,NPV!$B$3:$C$44,2,0)</f>
        <v>93144.199568256488</v>
      </c>
      <c r="P82" s="86">
        <f t="shared" si="12"/>
        <v>3380869.2498222054</v>
      </c>
      <c r="Q82" s="86">
        <f t="shared" si="13"/>
        <v>2491390.0322194383</v>
      </c>
      <c r="R82" s="8"/>
      <c r="S82" s="86">
        <f>$D82*HLOOKUP($A82,'Barge - Liquid'!$A$31:$AA$36,2,FALSE)*HLOOKUP($A82,'Barge - Liquid'!$A$37:$AA$42,2,FALSE)</f>
        <v>224481.49720581426</v>
      </c>
      <c r="T82" s="86">
        <f>$D82*HLOOKUP($A82,'Barge - Liquid'!$A$31:$AA$36,2,FALSE)*HLOOKUP($A82,'Barge - Liquid'!$A$37:$AA$42,2,FALSE)*VLOOKUP($A82,NPV!$B$3:$D$44,3,0)</f>
        <v>184153.01458621916</v>
      </c>
      <c r="U82" s="86">
        <f>$D82*HLOOKUP($A82,'Barge - Liquid'!$A$31:$AA$36,3,FALSE)*HLOOKUP($A82,'Barge - Liquid'!$A$37:$AA$42,3,FALSE)</f>
        <v>0</v>
      </c>
      <c r="V82" s="86">
        <f>$D82*HLOOKUP($A82,'Barge - Liquid'!$A$31:$AA$36,3,FALSE)*HLOOKUP($A82,'Barge - Liquid'!$A$37:$AA$42,3,FALSE)*VLOOKUP($A82,NPV!$B$3:$C$44,2,0)</f>
        <v>0</v>
      </c>
      <c r="W82" s="86">
        <f>$D82*HLOOKUP($A82,'Barge - Liquid'!$A$31:$AA$36,4,FALSE)*HLOOKUP($A82,'Barge - Liquid'!$A$37:$AA$42,4,FALSE)</f>
        <v>0</v>
      </c>
      <c r="X82" s="86">
        <f>$D82*HLOOKUP($A82,'Barge - Liquid'!$A$31:$AA$36,4,FALSE)*HLOOKUP($A82,'Barge - Liquid'!$A$37:$AA$42,4,FALSE)*VLOOKUP($A82,NPV!$B$3:$C$44,2,0)</f>
        <v>0</v>
      </c>
      <c r="Y82" s="86">
        <f>$D82*HLOOKUP($A82,'Barge - Liquid'!$A$31:$AA$36,5,FALSE)*HLOOKUP($A82,'Barge - Liquid'!$A$37:$AA$42,5,FALSE)</f>
        <v>0</v>
      </c>
      <c r="Z82" s="86">
        <f>$D82*HLOOKUP($A82,'Barge - Liquid'!$A$31:$AA$36,5,FALSE)*HLOOKUP($A82,'Barge - Liquid'!$A$37:$AA$42,5,FALSE)*VLOOKUP($A82,NPV!$B$3:$C$44,2,0)</f>
        <v>0</v>
      </c>
      <c r="AA82" s="86">
        <f t="shared" si="14"/>
        <v>224481.49720581426</v>
      </c>
      <c r="AB82" s="86">
        <f t="shared" si="15"/>
        <v>184153.01458621916</v>
      </c>
      <c r="AD82" s="86">
        <f>$B$11*'Barge - Liquid'!$F$55*'Inputs &amp; Parameters'!$B$45</f>
        <v>1463.4359431952466</v>
      </c>
      <c r="AE82" s="86">
        <f>$B$11*'Barge - Liquid'!$F$55*'Inputs &amp; Parameters'!$B$45*VLOOKUP($A82,NPV!$B$3:$C$44,2,0)</f>
        <v>1078.4178423522374</v>
      </c>
      <c r="AF82" s="86">
        <f>$B$11*'Barge - Liquid'!$E$55*'Inputs &amp; Parameters'!$B$44</f>
        <v>28169.18724513644</v>
      </c>
      <c r="AG82" s="86">
        <f>$B$11*'Barge - Liquid'!$E$55*'Inputs &amp; Parameters'!$B$44*VLOOKUP($A82,NPV!$B$3:$C$44,2,0)</f>
        <v>20758.10305942667</v>
      </c>
      <c r="AH82" s="86">
        <f t="shared" si="16"/>
        <v>29632.623188331687</v>
      </c>
      <c r="AI82" s="86">
        <f t="shared" si="17"/>
        <v>21836.520901778909</v>
      </c>
      <c r="AK82" s="16">
        <f t="shared" si="6"/>
        <v>3634983.3702163515</v>
      </c>
      <c r="AL82" s="16">
        <f t="shared" si="7"/>
        <v>2697379.5677074362</v>
      </c>
    </row>
    <row r="83" spans="1:38" x14ac:dyDescent="0.25">
      <c r="A83" s="5">
        <f t="shared" si="8"/>
        <v>2033</v>
      </c>
      <c r="B83" s="10">
        <f t="shared" si="4"/>
        <v>259.66954545454547</v>
      </c>
      <c r="C83" s="10">
        <f>B83*'Inputs &amp; Parameters'!$C$20/60</f>
        <v>4674.0518181818188</v>
      </c>
      <c r="D83" s="10">
        <f>B83*'Inputs &amp; Parameters'!$B$20</f>
        <v>34065.750865891372</v>
      </c>
      <c r="F83" s="86">
        <f>(($B$10/$B$21)*'Inputs &amp; Parameters'!$B$7 + ('Barge - Liquid'!$B$72/'Barge - Liquid'!$B$70)*'Barge - Liquid'!$B$73)</f>
        <v>2013925.3452709387</v>
      </c>
      <c r="G83" s="86">
        <f>(($B$10/$B$21)*'Inputs &amp; Parameters'!$B$7 + ('Barge - Liquid'!$B$72/'Barge - Liquid'!$B$70)*'Barge - Liquid'!$B$73)*VLOOKUP($A83,NPV!$B$3:$C$44,2,0)</f>
        <v>1439454.8569325509</v>
      </c>
      <c r="H83" s="86">
        <f t="shared" si="9"/>
        <v>1032965.451818182</v>
      </c>
      <c r="I83" s="86">
        <f>SUM(($B$5-1)*C83*$B$7,1*C83*$B$6)*VLOOKUP($A83,NPV!$B$3:$C$44,2,0)</f>
        <v>738312.93704840459</v>
      </c>
      <c r="J83" s="86">
        <f t="shared" si="10"/>
        <v>96250</v>
      </c>
      <c r="K83" s="86">
        <f>J83*VLOOKUP($A83,NPV!$B$3:$C$44,2,0)</f>
        <v>68794.769530604855</v>
      </c>
      <c r="L83" s="86">
        <f t="shared" si="5"/>
        <v>111329.79333125385</v>
      </c>
      <c r="M83" s="86">
        <f>(B83*($B$12*$B$8))*($B$13/365)*($B$68/24)*VLOOKUP($A83,NPV!$B$3:$C$44,2,0)</f>
        <v>79573.064666114049</v>
      </c>
      <c r="N83" s="86">
        <f t="shared" si="11"/>
        <v>126398.65940183081</v>
      </c>
      <c r="O83" s="86">
        <f>N83*VLOOKUP($A83,NPV!$B$3:$C$44,2,0)</f>
        <v>90343.549532741512</v>
      </c>
      <c r="P83" s="86">
        <f t="shared" si="12"/>
        <v>3380869.2498222054</v>
      </c>
      <c r="Q83" s="86">
        <f t="shared" si="13"/>
        <v>2416479.1777104158</v>
      </c>
      <c r="R83" s="8"/>
      <c r="S83" s="86">
        <f>$D83*HLOOKUP($A83,'Barge - Liquid'!$A$31:$AA$36,2,FALSE)*HLOOKUP($A83,'Barge - Liquid'!$A$37:$AA$42,2,FALSE)</f>
        <v>228270.21445823307</v>
      </c>
      <c r="T83" s="86">
        <f>$D83*HLOOKUP($A83,'Barge - Liquid'!$A$31:$AA$36,2,FALSE)*HLOOKUP($A83,'Barge - Liquid'!$A$37:$AA$42,2,FALSE)*VLOOKUP($A83,NPV!$B$3:$D$44,3,0)</f>
        <v>183589.29641465552</v>
      </c>
      <c r="U83" s="86">
        <f>$D83*HLOOKUP($A83,'Barge - Liquid'!$A$31:$AA$36,3,FALSE)*HLOOKUP($A83,'Barge - Liquid'!$A$37:$AA$42,3,FALSE)</f>
        <v>0</v>
      </c>
      <c r="V83" s="86">
        <f>$D83*HLOOKUP($A83,'Barge - Liquid'!$A$31:$AA$36,3,FALSE)*HLOOKUP($A83,'Barge - Liquid'!$A$37:$AA$42,3,FALSE)*VLOOKUP($A83,NPV!$B$3:$C$44,2,0)</f>
        <v>0</v>
      </c>
      <c r="W83" s="86">
        <f>$D83*HLOOKUP($A83,'Barge - Liquid'!$A$31:$AA$36,4,FALSE)*HLOOKUP($A83,'Barge - Liquid'!$A$37:$AA$42,4,FALSE)</f>
        <v>0</v>
      </c>
      <c r="X83" s="86">
        <f>$D83*HLOOKUP($A83,'Barge - Liquid'!$A$31:$AA$36,4,FALSE)*HLOOKUP($A83,'Barge - Liquid'!$A$37:$AA$42,4,FALSE)*VLOOKUP($A83,NPV!$B$3:$C$44,2,0)</f>
        <v>0</v>
      </c>
      <c r="Y83" s="86">
        <f>$D83*HLOOKUP($A83,'Barge - Liquid'!$A$31:$AA$36,5,FALSE)*HLOOKUP($A83,'Barge - Liquid'!$A$37:$AA$42,5,FALSE)</f>
        <v>0</v>
      </c>
      <c r="Z83" s="86">
        <f>$D83*HLOOKUP($A83,'Barge - Liquid'!$A$31:$AA$36,5,FALSE)*HLOOKUP($A83,'Barge - Liquid'!$A$37:$AA$42,5,FALSE)*VLOOKUP($A83,NPV!$B$3:$C$44,2,0)</f>
        <v>0</v>
      </c>
      <c r="AA83" s="86">
        <f t="shared" si="14"/>
        <v>228270.21445823307</v>
      </c>
      <c r="AB83" s="86">
        <f t="shared" si="15"/>
        <v>183589.29641465552</v>
      </c>
      <c r="AD83" s="86">
        <f>$B$11*'Barge - Liquid'!$F$55*'Inputs &amp; Parameters'!$B$45</f>
        <v>1463.4359431952466</v>
      </c>
      <c r="AE83" s="86">
        <f>$B$11*'Barge - Liquid'!$F$55*'Inputs &amp; Parameters'!$B$45*VLOOKUP($A83,NPV!$B$3:$C$44,2,0)</f>
        <v>1045.9920876355359</v>
      </c>
      <c r="AF83" s="86">
        <f>$B$11*'Barge - Liquid'!$E$55*'Inputs &amp; Parameters'!$B$44</f>
        <v>28169.18724513644</v>
      </c>
      <c r="AG83" s="86">
        <f>$B$11*'Barge - Liquid'!$E$55*'Inputs &amp; Parameters'!$B$44*VLOOKUP($A83,NPV!$B$3:$C$44,2,0)</f>
        <v>20133.950591102493</v>
      </c>
      <c r="AH83" s="86">
        <f t="shared" si="16"/>
        <v>29632.623188331687</v>
      </c>
      <c r="AI83" s="86">
        <f t="shared" si="17"/>
        <v>21179.942678738029</v>
      </c>
      <c r="AK83" s="16">
        <f t="shared" si="6"/>
        <v>3638772.0874687703</v>
      </c>
      <c r="AL83" s="16">
        <f t="shared" si="7"/>
        <v>2621248.4168038093</v>
      </c>
    </row>
    <row r="84" spans="1:38" x14ac:dyDescent="0.25">
      <c r="A84" s="5">
        <f t="shared" si="8"/>
        <v>2034</v>
      </c>
      <c r="B84" s="10">
        <f t="shared" si="4"/>
        <v>259.66954545454547</v>
      </c>
      <c r="C84" s="10">
        <f>B84*'Inputs &amp; Parameters'!$C$20/60</f>
        <v>4674.0518181818188</v>
      </c>
      <c r="D84" s="10">
        <f>B84*'Inputs &amp; Parameters'!$B$20</f>
        <v>34065.750865891372</v>
      </c>
      <c r="F84" s="86">
        <f>(($B$10/$B$21)*'Inputs &amp; Parameters'!$B$7 + ('Barge - Liquid'!$B$72/'Barge - Liquid'!$B$70)*'Barge - Liquid'!$B$73)</f>
        <v>2013925.3452709387</v>
      </c>
      <c r="G84" s="86">
        <f>(($B$10/$B$21)*'Inputs &amp; Parameters'!$B$7 + ('Barge - Liquid'!$B$72/'Barge - Liquid'!$B$70)*'Barge - Liquid'!$B$73)*VLOOKUP($A84,NPV!$B$3:$C$44,2,0)</f>
        <v>1396173.4790810386</v>
      </c>
      <c r="H84" s="86">
        <f t="shared" si="9"/>
        <v>1032965.451818182</v>
      </c>
      <c r="I84" s="86">
        <f>SUM(($B$5-1)*C84*$B$7,1*C84*$B$6)*VLOOKUP($A84,NPV!$B$3:$C$44,2,0)</f>
        <v>716113.42099748261</v>
      </c>
      <c r="J84" s="86">
        <f t="shared" si="10"/>
        <v>96250</v>
      </c>
      <c r="K84" s="86">
        <f>J84*VLOOKUP($A84,NPV!$B$3:$C$44,2,0)</f>
        <v>66726.255606794221</v>
      </c>
      <c r="L84" s="86">
        <f t="shared" si="5"/>
        <v>111329.79333125385</v>
      </c>
      <c r="M84" s="86">
        <f>(B84*($B$12*$B$8))*($B$13/365)*($B$68/24)*VLOOKUP($A84,NPV!$B$3:$C$44,2,0)</f>
        <v>77180.470093224096</v>
      </c>
      <c r="N84" s="86">
        <f t="shared" si="11"/>
        <v>126398.65940183081</v>
      </c>
      <c r="O84" s="86">
        <f>N84*VLOOKUP($A84,NPV!$B$3:$C$44,2,0)</f>
        <v>87627.109149118827</v>
      </c>
      <c r="P84" s="86">
        <f t="shared" si="12"/>
        <v>3380869.2498222054</v>
      </c>
      <c r="Q84" s="86">
        <f t="shared" si="13"/>
        <v>2343820.7349276585</v>
      </c>
      <c r="R84" s="8"/>
      <c r="S84" s="86">
        <f>$D84*HLOOKUP($A84,'Barge - Liquid'!$A$31:$AA$36,2,FALSE)*HLOOKUP($A84,'Barge - Liquid'!$A$37:$AA$42,2,FALSE)</f>
        <v>232058.93171065184</v>
      </c>
      <c r="T84" s="86">
        <f>$D84*HLOOKUP($A84,'Barge - Liquid'!$A$31:$AA$36,2,FALSE)*HLOOKUP($A84,'Barge - Liquid'!$A$37:$AA$42,2,FALSE)*VLOOKUP($A84,NPV!$B$3:$D$44,3,0)</f>
        <v>182976.88398661863</v>
      </c>
      <c r="U84" s="86">
        <f>$D84*HLOOKUP($A84,'Barge - Liquid'!$A$31:$AA$36,3,FALSE)*HLOOKUP($A84,'Barge - Liquid'!$A$37:$AA$42,3,FALSE)</f>
        <v>0</v>
      </c>
      <c r="V84" s="86">
        <f>$D84*HLOOKUP($A84,'Barge - Liquid'!$A$31:$AA$36,3,FALSE)*HLOOKUP($A84,'Barge - Liquid'!$A$37:$AA$42,3,FALSE)*VLOOKUP($A84,NPV!$B$3:$C$44,2,0)</f>
        <v>0</v>
      </c>
      <c r="W84" s="86">
        <f>$D84*HLOOKUP($A84,'Barge - Liquid'!$A$31:$AA$36,4,FALSE)*HLOOKUP($A84,'Barge - Liquid'!$A$37:$AA$42,4,FALSE)</f>
        <v>0</v>
      </c>
      <c r="X84" s="86">
        <f>$D84*HLOOKUP($A84,'Barge - Liquid'!$A$31:$AA$36,4,FALSE)*HLOOKUP($A84,'Barge - Liquid'!$A$37:$AA$42,4,FALSE)*VLOOKUP($A84,NPV!$B$3:$C$44,2,0)</f>
        <v>0</v>
      </c>
      <c r="Y84" s="86">
        <f>$D84*HLOOKUP($A84,'Barge - Liquid'!$A$31:$AA$36,5,FALSE)*HLOOKUP($A84,'Barge - Liquid'!$A$37:$AA$42,5,FALSE)</f>
        <v>0</v>
      </c>
      <c r="Z84" s="86">
        <f>$D84*HLOOKUP($A84,'Barge - Liquid'!$A$31:$AA$36,5,FALSE)*HLOOKUP($A84,'Barge - Liquid'!$A$37:$AA$42,5,FALSE)*VLOOKUP($A84,NPV!$B$3:$C$44,2,0)</f>
        <v>0</v>
      </c>
      <c r="AA84" s="86">
        <f t="shared" si="14"/>
        <v>232058.93171065184</v>
      </c>
      <c r="AB84" s="86">
        <f t="shared" si="15"/>
        <v>182976.88398661863</v>
      </c>
      <c r="AD84" s="86">
        <f>$B$11*'Barge - Liquid'!$F$55*'Inputs &amp; Parameters'!$B$45</f>
        <v>1463.4359431952466</v>
      </c>
      <c r="AE84" s="86">
        <f>$B$11*'Barge - Liquid'!$F$55*'Inputs &amp; Parameters'!$B$45*VLOOKUP($A84,NPV!$B$3:$C$44,2,0)</f>
        <v>1014.5413071149717</v>
      </c>
      <c r="AF84" s="86">
        <f>$B$11*'Barge - Liquid'!$E$55*'Inputs &amp; Parameters'!$B$44</f>
        <v>28169.18724513644</v>
      </c>
      <c r="AG84" s="86">
        <f>$B$11*'Barge - Liquid'!$E$55*'Inputs &amp; Parameters'!$B$44*VLOOKUP($A84,NPV!$B$3:$C$44,2,0)</f>
        <v>19528.56507381425</v>
      </c>
      <c r="AH84" s="86">
        <f t="shared" si="16"/>
        <v>29632.623188331687</v>
      </c>
      <c r="AI84" s="86">
        <f t="shared" si="17"/>
        <v>20543.106380929221</v>
      </c>
      <c r="AK84" s="16">
        <f t="shared" si="6"/>
        <v>3642560.8047211887</v>
      </c>
      <c r="AL84" s="16">
        <f t="shared" si="7"/>
        <v>2547340.7252952065</v>
      </c>
    </row>
    <row r="85" spans="1:38" x14ac:dyDescent="0.25">
      <c r="A85" s="5">
        <f t="shared" si="8"/>
        <v>2035</v>
      </c>
      <c r="B85" s="10">
        <f t="shared" si="4"/>
        <v>259.66954545454547</v>
      </c>
      <c r="C85" s="10">
        <f>B85*'Inputs &amp; Parameters'!$C$20/60</f>
        <v>4674.0518181818188</v>
      </c>
      <c r="D85" s="10">
        <f>B85*'Inputs &amp; Parameters'!$B$20</f>
        <v>34065.750865891372</v>
      </c>
      <c r="F85" s="86">
        <f>(($B$10/$B$21)*'Inputs &amp; Parameters'!$B$7 + ('Barge - Liquid'!$B$72/'Barge - Liquid'!$B$70)*'Barge - Liquid'!$B$73)</f>
        <v>2013925.3452709387</v>
      </c>
      <c r="G85" s="86">
        <f>(($B$10/$B$21)*'Inputs &amp; Parameters'!$B$7 + ('Barge - Liquid'!$B$72/'Barge - Liquid'!$B$70)*'Barge - Liquid'!$B$73)*VLOOKUP($A85,NPV!$B$3:$C$44,2,0)</f>
        <v>1354193.481164926</v>
      </c>
      <c r="H85" s="86">
        <f t="shared" si="9"/>
        <v>1032965.451818182</v>
      </c>
      <c r="I85" s="86">
        <f>SUM(($B$5-1)*C85*$B$7,1*C85*$B$6)*VLOOKUP($A85,NPV!$B$3:$C$44,2,0)</f>
        <v>694581.39766972128</v>
      </c>
      <c r="J85" s="86">
        <f t="shared" si="10"/>
        <v>96250</v>
      </c>
      <c r="K85" s="86">
        <f>J85*VLOOKUP($A85,NPV!$B$3:$C$44,2,0)</f>
        <v>64719.937542962398</v>
      </c>
      <c r="L85" s="86">
        <f t="shared" si="5"/>
        <v>111329.79333125385</v>
      </c>
      <c r="M85" s="86">
        <f>(B85*($B$12*$B$8))*($B$13/365)*($B$68/24)*VLOOKUP($A85,NPV!$B$3:$C$44,2,0)</f>
        <v>74859.815803321151</v>
      </c>
      <c r="N85" s="86">
        <f t="shared" si="11"/>
        <v>126398.65940183081</v>
      </c>
      <c r="O85" s="86">
        <f>N85*VLOOKUP($A85,NPV!$B$3:$C$44,2,0)</f>
        <v>84992.346410396538</v>
      </c>
      <c r="P85" s="86">
        <f t="shared" si="12"/>
        <v>3380869.2498222054</v>
      </c>
      <c r="Q85" s="86">
        <f t="shared" si="13"/>
        <v>2273346.9785913271</v>
      </c>
      <c r="R85" s="8"/>
      <c r="S85" s="86">
        <f>$D85*HLOOKUP($A85,'Barge - Liquid'!$A$31:$AA$36,2,FALSE)*HLOOKUP($A85,'Barge - Liquid'!$A$37:$AA$42,2,FALSE)</f>
        <v>234900.46964996596</v>
      </c>
      <c r="T85" s="86">
        <f>$D85*HLOOKUP($A85,'Barge - Liquid'!$A$31:$AA$36,2,FALSE)*HLOOKUP($A85,'Barge - Liquid'!$A$37:$AA$42,2,FALSE)*VLOOKUP($A85,NPV!$B$3:$D$44,3,0)</f>
        <v>181585.70319600409</v>
      </c>
      <c r="U85" s="86">
        <f>$D85*HLOOKUP($A85,'Barge - Liquid'!$A$31:$AA$36,3,FALSE)*HLOOKUP($A85,'Barge - Liquid'!$A$37:$AA$42,3,FALSE)</f>
        <v>0</v>
      </c>
      <c r="V85" s="86">
        <f>$D85*HLOOKUP($A85,'Barge - Liquid'!$A$31:$AA$36,3,FALSE)*HLOOKUP($A85,'Barge - Liquid'!$A$37:$AA$42,3,FALSE)*VLOOKUP($A85,NPV!$B$3:$C$44,2,0)</f>
        <v>0</v>
      </c>
      <c r="W85" s="86">
        <f>$D85*HLOOKUP($A85,'Barge - Liquid'!$A$31:$AA$36,4,FALSE)*HLOOKUP($A85,'Barge - Liquid'!$A$37:$AA$42,4,FALSE)</f>
        <v>0</v>
      </c>
      <c r="X85" s="86">
        <f>$D85*HLOOKUP($A85,'Barge - Liquid'!$A$31:$AA$36,4,FALSE)*HLOOKUP($A85,'Barge - Liquid'!$A$37:$AA$42,4,FALSE)*VLOOKUP($A85,NPV!$B$3:$C$44,2,0)</f>
        <v>0</v>
      </c>
      <c r="Y85" s="86">
        <f>$D85*HLOOKUP($A85,'Barge - Liquid'!$A$31:$AA$36,5,FALSE)*HLOOKUP($A85,'Barge - Liquid'!$A$37:$AA$42,5,FALSE)</f>
        <v>0</v>
      </c>
      <c r="Z85" s="86">
        <f>$D85*HLOOKUP($A85,'Barge - Liquid'!$A$31:$AA$36,5,FALSE)*HLOOKUP($A85,'Barge - Liquid'!$A$37:$AA$42,5,FALSE)*VLOOKUP($A85,NPV!$B$3:$C$44,2,0)</f>
        <v>0</v>
      </c>
      <c r="AA85" s="86">
        <f t="shared" si="14"/>
        <v>234900.46964996596</v>
      </c>
      <c r="AB85" s="86">
        <f t="shared" si="15"/>
        <v>181585.70319600409</v>
      </c>
      <c r="AD85" s="86">
        <f>$B$11*'Barge - Liquid'!$F$55*'Inputs &amp; Parameters'!$B$45</f>
        <v>1463.4359431952466</v>
      </c>
      <c r="AE85" s="86">
        <f>$B$11*'Barge - Liquid'!$F$55*'Inputs &amp; Parameters'!$B$45*VLOOKUP($A85,NPV!$B$3:$C$44,2,0)</f>
        <v>984.03618536854674</v>
      </c>
      <c r="AF85" s="86">
        <f>$B$11*'Barge - Liquid'!$E$55*'Inputs &amp; Parameters'!$B$44</f>
        <v>28169.18724513644</v>
      </c>
      <c r="AG85" s="86">
        <f>$B$11*'Barge - Liquid'!$E$55*'Inputs &amp; Parameters'!$B$44*VLOOKUP($A85,NPV!$B$3:$C$44,2,0)</f>
        <v>18941.382224844085</v>
      </c>
      <c r="AH85" s="86">
        <f t="shared" si="16"/>
        <v>29632.623188331687</v>
      </c>
      <c r="AI85" s="86">
        <f t="shared" si="17"/>
        <v>19925.418410212631</v>
      </c>
      <c r="AK85" s="16">
        <f t="shared" si="6"/>
        <v>3645402.342660503</v>
      </c>
      <c r="AL85" s="16">
        <f t="shared" si="7"/>
        <v>2474858.1001975439</v>
      </c>
    </row>
    <row r="86" spans="1:38" x14ac:dyDescent="0.25">
      <c r="A86" s="5">
        <f t="shared" si="8"/>
        <v>2036</v>
      </c>
      <c r="B86" s="10">
        <f t="shared" si="4"/>
        <v>259.66954545454547</v>
      </c>
      <c r="C86" s="10">
        <f>B86*'Inputs &amp; Parameters'!$C$20/60</f>
        <v>4674.0518181818188</v>
      </c>
      <c r="D86" s="10">
        <f>B86*'Inputs &amp; Parameters'!$B$20</f>
        <v>34065.750865891372</v>
      </c>
      <c r="F86" s="86">
        <f>(($B$10/$B$21)*'Inputs &amp; Parameters'!$B$7 + ('Barge - Liquid'!$B$72/'Barge - Liquid'!$B$70)*'Barge - Liquid'!$B$73)</f>
        <v>2013925.3452709387</v>
      </c>
      <c r="G86" s="86">
        <f>(($B$10/$B$21)*'Inputs &amp; Parameters'!$B$7 + ('Barge - Liquid'!$B$72/'Barge - Liquid'!$B$70)*'Barge - Liquid'!$B$73)*VLOOKUP($A86,NPV!$B$3:$C$44,2,0)</f>
        <v>1313475.7334286384</v>
      </c>
      <c r="H86" s="86">
        <f t="shared" si="9"/>
        <v>1032965.451818182</v>
      </c>
      <c r="I86" s="86">
        <f>SUM(($B$5-1)*C86*$B$7,1*C86*$B$6)*VLOOKUP($A86,NPV!$B$3:$C$44,2,0)</f>
        <v>673696.79696384224</v>
      </c>
      <c r="J86" s="86">
        <f t="shared" si="10"/>
        <v>96250</v>
      </c>
      <c r="K86" s="86">
        <f>J86*VLOOKUP($A86,NPV!$B$3:$C$44,2,0)</f>
        <v>62773.945240506699</v>
      </c>
      <c r="L86" s="86">
        <f t="shared" si="5"/>
        <v>111329.79333125385</v>
      </c>
      <c r="M86" s="86">
        <f>(B86*($B$12*$B$8))*($B$13/365)*($B$68/24)*VLOOKUP($A86,NPV!$B$3:$C$44,2,0)</f>
        <v>72608.938703512278</v>
      </c>
      <c r="N86" s="86">
        <f t="shared" si="11"/>
        <v>126398.65940183081</v>
      </c>
      <c r="O86" s="86">
        <f>N86*VLOOKUP($A86,NPV!$B$3:$C$44,2,0)</f>
        <v>82436.805441703735</v>
      </c>
      <c r="P86" s="86">
        <f t="shared" si="12"/>
        <v>3380869.2498222054</v>
      </c>
      <c r="Q86" s="86">
        <f t="shared" si="13"/>
        <v>2204992.2197782029</v>
      </c>
      <c r="R86" s="8"/>
      <c r="S86" s="86">
        <f>$D86*HLOOKUP($A86,'Barge - Liquid'!$A$31:$AA$36,2,FALSE)*HLOOKUP($A86,'Barge - Liquid'!$A$37:$AA$42,2,FALSE)</f>
        <v>238689.18690238474</v>
      </c>
      <c r="T86" s="86">
        <f>$D86*HLOOKUP($A86,'Barge - Liquid'!$A$31:$AA$36,2,FALSE)*HLOOKUP($A86,'Barge - Liquid'!$A$37:$AA$42,2,FALSE)*VLOOKUP($A86,NPV!$B$3:$D$44,3,0)</f>
        <v>180896.57339260366</v>
      </c>
      <c r="U86" s="86">
        <f>$D86*HLOOKUP($A86,'Barge - Liquid'!$A$31:$AA$36,3,FALSE)*HLOOKUP($A86,'Barge - Liquid'!$A$37:$AA$42,3,FALSE)</f>
        <v>0</v>
      </c>
      <c r="V86" s="86">
        <f>$D86*HLOOKUP($A86,'Barge - Liquid'!$A$31:$AA$36,3,FALSE)*HLOOKUP($A86,'Barge - Liquid'!$A$37:$AA$42,3,FALSE)*VLOOKUP($A86,NPV!$B$3:$C$44,2,0)</f>
        <v>0</v>
      </c>
      <c r="W86" s="86">
        <f>$D86*HLOOKUP($A86,'Barge - Liquid'!$A$31:$AA$36,4,FALSE)*HLOOKUP($A86,'Barge - Liquid'!$A$37:$AA$42,4,FALSE)</f>
        <v>0</v>
      </c>
      <c r="X86" s="86">
        <f>$D86*HLOOKUP($A86,'Barge - Liquid'!$A$31:$AA$36,4,FALSE)*HLOOKUP($A86,'Barge - Liquid'!$A$37:$AA$42,4,FALSE)*VLOOKUP($A86,NPV!$B$3:$C$44,2,0)</f>
        <v>0</v>
      </c>
      <c r="Y86" s="86">
        <f>$D86*HLOOKUP($A86,'Barge - Liquid'!$A$31:$AA$36,5,FALSE)*HLOOKUP($A86,'Barge - Liquid'!$A$37:$AA$42,5,FALSE)</f>
        <v>0</v>
      </c>
      <c r="Z86" s="86">
        <f>$D86*HLOOKUP($A86,'Barge - Liquid'!$A$31:$AA$36,5,FALSE)*HLOOKUP($A86,'Barge - Liquid'!$A$37:$AA$42,5,FALSE)*VLOOKUP($A86,NPV!$B$3:$C$44,2,0)</f>
        <v>0</v>
      </c>
      <c r="AA86" s="86">
        <f t="shared" si="14"/>
        <v>238689.18690238474</v>
      </c>
      <c r="AB86" s="86">
        <f t="shared" si="15"/>
        <v>180896.57339260366</v>
      </c>
      <c r="AD86" s="86">
        <f>$B$11*'Barge - Liquid'!$F$55*'Inputs &amp; Parameters'!$B$45</f>
        <v>1463.4359431952466</v>
      </c>
      <c r="AE86" s="86">
        <f>$B$11*'Barge - Liquid'!$F$55*'Inputs &amp; Parameters'!$B$45*VLOOKUP($A86,NPV!$B$3:$C$44,2,0)</f>
        <v>954.44828842730055</v>
      </c>
      <c r="AF86" s="86">
        <f>$B$11*'Barge - Liquid'!$E$55*'Inputs &amp; Parameters'!$B$44</f>
        <v>28169.18724513644</v>
      </c>
      <c r="AG86" s="86">
        <f>$B$11*'Barge - Liquid'!$E$55*'Inputs &amp; Parameters'!$B$44*VLOOKUP($A86,NPV!$B$3:$C$44,2,0)</f>
        <v>18371.854728267786</v>
      </c>
      <c r="AH86" s="86">
        <f t="shared" si="16"/>
        <v>29632.623188331687</v>
      </c>
      <c r="AI86" s="86">
        <f t="shared" si="17"/>
        <v>19326.303016695088</v>
      </c>
      <c r="AK86" s="16">
        <f t="shared" si="6"/>
        <v>3649191.0599129219</v>
      </c>
      <c r="AL86" s="16">
        <f t="shared" si="7"/>
        <v>2405215.0961875017</v>
      </c>
    </row>
    <row r="87" spans="1:38" x14ac:dyDescent="0.25">
      <c r="A87" s="5">
        <f t="shared" si="8"/>
        <v>2037</v>
      </c>
      <c r="B87" s="10">
        <f t="shared" si="4"/>
        <v>259.66954545454547</v>
      </c>
      <c r="C87" s="10">
        <f>B87*'Inputs &amp; Parameters'!$C$20/60</f>
        <v>4674.0518181818188</v>
      </c>
      <c r="D87" s="10">
        <f>B87*'Inputs &amp; Parameters'!$B$20</f>
        <v>34065.750865891372</v>
      </c>
      <c r="F87" s="86">
        <f>(($B$10/$B$21)*'Inputs &amp; Parameters'!$B$7 + ('Barge - Liquid'!$B$72/'Barge - Liquid'!$B$70)*'Barge - Liquid'!$B$73)</f>
        <v>2013925.3452709387</v>
      </c>
      <c r="G87" s="86">
        <f>(($B$10/$B$21)*'Inputs &amp; Parameters'!$B$7 + ('Barge - Liquid'!$B$72/'Barge - Liquid'!$B$70)*'Barge - Liquid'!$B$73)*VLOOKUP($A87,NPV!$B$3:$C$44,2,0)</f>
        <v>1273982.2826659929</v>
      </c>
      <c r="H87" s="86">
        <f t="shared" si="9"/>
        <v>1032965.451818182</v>
      </c>
      <c r="I87" s="86">
        <f>SUM(($B$5-1)*C87*$B$7,1*C87*$B$6)*VLOOKUP($A87,NPV!$B$3:$C$44,2,0)</f>
        <v>653440.15224426996</v>
      </c>
      <c r="J87" s="86">
        <f t="shared" si="10"/>
        <v>96250</v>
      </c>
      <c r="K87" s="86">
        <f>J87*VLOOKUP($A87,NPV!$B$3:$C$44,2,0)</f>
        <v>60886.46483075335</v>
      </c>
      <c r="L87" s="86">
        <f t="shared" si="5"/>
        <v>111329.79333125385</v>
      </c>
      <c r="M87" s="86">
        <f>(B87*($B$12*$B$8))*($B$13/365)*($B$68/24)*VLOOKUP($A87,NPV!$B$3:$C$44,2,0)</f>
        <v>70425.740740555077</v>
      </c>
      <c r="N87" s="86">
        <f t="shared" si="11"/>
        <v>126398.65940183081</v>
      </c>
      <c r="O87" s="86">
        <f>N87*VLOOKUP($A87,NPV!$B$3:$C$44,2,0)</f>
        <v>79958.104211157843</v>
      </c>
      <c r="P87" s="86">
        <f t="shared" si="12"/>
        <v>3380869.2498222054</v>
      </c>
      <c r="Q87" s="86">
        <f t="shared" si="13"/>
        <v>2138692.7446927293</v>
      </c>
      <c r="R87" s="8"/>
      <c r="S87" s="86">
        <f>$D87*HLOOKUP($A87,'Barge - Liquid'!$A$31:$AA$36,2,FALSE)*HLOOKUP($A87,'Barge - Liquid'!$A$37:$AA$42,2,FALSE)</f>
        <v>242477.90415480357</v>
      </c>
      <c r="T87" s="86">
        <f>$D87*HLOOKUP($A87,'Barge - Liquid'!$A$31:$AA$36,2,FALSE)*HLOOKUP($A87,'Barge - Liquid'!$A$37:$AA$42,2,FALSE)*VLOOKUP($A87,NPV!$B$3:$D$44,3,0)</f>
        <v>180164.65448376344</v>
      </c>
      <c r="U87" s="86">
        <f>$D87*HLOOKUP($A87,'Barge - Liquid'!$A$31:$AA$36,3,FALSE)*HLOOKUP($A87,'Barge - Liquid'!$A$37:$AA$42,3,FALSE)</f>
        <v>0</v>
      </c>
      <c r="V87" s="86">
        <f>$D87*HLOOKUP($A87,'Barge - Liquid'!$A$31:$AA$36,3,FALSE)*HLOOKUP($A87,'Barge - Liquid'!$A$37:$AA$42,3,FALSE)*VLOOKUP($A87,NPV!$B$3:$C$44,2,0)</f>
        <v>0</v>
      </c>
      <c r="W87" s="86">
        <f>$D87*HLOOKUP($A87,'Barge - Liquid'!$A$31:$AA$36,4,FALSE)*HLOOKUP($A87,'Barge - Liquid'!$A$37:$AA$42,4,FALSE)</f>
        <v>0</v>
      </c>
      <c r="X87" s="86">
        <f>$D87*HLOOKUP($A87,'Barge - Liquid'!$A$31:$AA$36,4,FALSE)*HLOOKUP($A87,'Barge - Liquid'!$A$37:$AA$42,4,FALSE)*VLOOKUP($A87,NPV!$B$3:$C$44,2,0)</f>
        <v>0</v>
      </c>
      <c r="Y87" s="86">
        <f>$D87*HLOOKUP($A87,'Barge - Liquid'!$A$31:$AA$36,5,FALSE)*HLOOKUP($A87,'Barge - Liquid'!$A$37:$AA$42,5,FALSE)</f>
        <v>0</v>
      </c>
      <c r="Z87" s="86">
        <f>$D87*HLOOKUP($A87,'Barge - Liquid'!$A$31:$AA$36,5,FALSE)*HLOOKUP($A87,'Barge - Liquid'!$A$37:$AA$42,5,FALSE)*VLOOKUP($A87,NPV!$B$3:$C$44,2,0)</f>
        <v>0</v>
      </c>
      <c r="AA87" s="86">
        <f t="shared" si="14"/>
        <v>242477.90415480357</v>
      </c>
      <c r="AB87" s="86">
        <f t="shared" si="15"/>
        <v>180164.65448376344</v>
      </c>
      <c r="AD87" s="86">
        <f>$B$11*'Barge - Liquid'!$F$55*'Inputs &amp; Parameters'!$B$45</f>
        <v>1463.4359431952466</v>
      </c>
      <c r="AE87" s="86">
        <f>$B$11*'Barge - Liquid'!$F$55*'Inputs &amp; Parameters'!$B$45*VLOOKUP($A87,NPV!$B$3:$C$44,2,0)</f>
        <v>925.75003727187266</v>
      </c>
      <c r="AF87" s="86">
        <f>$B$11*'Barge - Liquid'!$E$55*'Inputs &amp; Parameters'!$B$44</f>
        <v>28169.18724513644</v>
      </c>
      <c r="AG87" s="86">
        <f>$B$11*'Barge - Liquid'!$E$55*'Inputs &amp; Parameters'!$B$44*VLOOKUP($A87,NPV!$B$3:$C$44,2,0)</f>
        <v>17819.451724799019</v>
      </c>
      <c r="AH87" s="86">
        <f t="shared" si="16"/>
        <v>29632.623188331687</v>
      </c>
      <c r="AI87" s="86">
        <f t="shared" si="17"/>
        <v>18745.20176207089</v>
      </c>
      <c r="AK87" s="16">
        <f t="shared" si="6"/>
        <v>3652979.7771653407</v>
      </c>
      <c r="AL87" s="16">
        <f t="shared" si="7"/>
        <v>2337602.6009385637</v>
      </c>
    </row>
    <row r="88" spans="1:38" x14ac:dyDescent="0.25">
      <c r="A88" s="5">
        <f t="shared" si="8"/>
        <v>2038</v>
      </c>
      <c r="B88" s="10">
        <f t="shared" si="4"/>
        <v>259.66954545454547</v>
      </c>
      <c r="C88" s="10">
        <f>B88*'Inputs &amp; Parameters'!$C$20/60</f>
        <v>4674.0518181818188</v>
      </c>
      <c r="D88" s="10">
        <f>B88*'Inputs &amp; Parameters'!$B$20</f>
        <v>34065.750865891372</v>
      </c>
      <c r="F88" s="86">
        <f>(($B$10/$B$21)*'Inputs &amp; Parameters'!$B$7 + ('Barge - Liquid'!$B$72/'Barge - Liquid'!$B$70)*'Barge - Liquid'!$B$73)</f>
        <v>2013925.3452709387</v>
      </c>
      <c r="G88" s="86">
        <f>(($B$10/$B$21)*'Inputs &amp; Parameters'!$B$7 + ('Barge - Liquid'!$B$72/'Barge - Liquid'!$B$70)*'Barge - Liquid'!$B$73)*VLOOKUP($A88,NPV!$B$3:$C$44,2,0)</f>
        <v>1235676.3168438338</v>
      </c>
      <c r="H88" s="86">
        <f t="shared" si="9"/>
        <v>1032965.451818182</v>
      </c>
      <c r="I88" s="86">
        <f>SUM(($B$5-1)*C88*$B$7,1*C88*$B$6)*VLOOKUP($A88,NPV!$B$3:$C$44,2,0)</f>
        <v>633792.58219618804</v>
      </c>
      <c r="J88" s="86">
        <f t="shared" si="10"/>
        <v>96250</v>
      </c>
      <c r="K88" s="86">
        <f>J88*VLOOKUP($A88,NPV!$B$3:$C$44,2,0)</f>
        <v>59055.736984241841</v>
      </c>
      <c r="L88" s="86">
        <f t="shared" si="5"/>
        <v>111329.79333125385</v>
      </c>
      <c r="M88" s="86">
        <f>(B88*($B$12*$B$8))*($B$13/365)*($B$68/24)*VLOOKUP($A88,NPV!$B$3:$C$44,2,0)</f>
        <v>68308.186945252251</v>
      </c>
      <c r="N88" s="86">
        <f t="shared" si="11"/>
        <v>126398.65940183081</v>
      </c>
      <c r="O88" s="86">
        <f>N88*VLOOKUP($A88,NPV!$B$3:$C$44,2,0)</f>
        <v>77553.932309561438</v>
      </c>
      <c r="P88" s="86">
        <f t="shared" si="12"/>
        <v>3380869.2498222054</v>
      </c>
      <c r="Q88" s="86">
        <f t="shared" si="13"/>
        <v>2074386.7552790774</v>
      </c>
      <c r="R88" s="8"/>
      <c r="S88" s="86">
        <f>$D88*HLOOKUP($A88,'Barge - Liquid'!$A$31:$AA$36,2,FALSE)*HLOOKUP($A88,'Barge - Liquid'!$A$37:$AA$42,2,FALSE)</f>
        <v>245319.44209411766</v>
      </c>
      <c r="T88" s="86">
        <f>$D88*HLOOKUP($A88,'Barge - Liquid'!$A$31:$AA$36,2,FALSE)*HLOOKUP($A88,'Barge - Liquid'!$A$37:$AA$42,2,FALSE)*VLOOKUP($A88,NPV!$B$3:$D$44,3,0)</f>
        <v>178701.92061617156</v>
      </c>
      <c r="U88" s="86">
        <f>$D88*HLOOKUP($A88,'Barge - Liquid'!$A$31:$AA$36,3,FALSE)*HLOOKUP($A88,'Barge - Liquid'!$A$37:$AA$42,3,FALSE)</f>
        <v>0</v>
      </c>
      <c r="V88" s="86">
        <f>$D88*HLOOKUP($A88,'Barge - Liquid'!$A$31:$AA$36,3,FALSE)*HLOOKUP($A88,'Barge - Liquid'!$A$37:$AA$42,3,FALSE)*VLOOKUP($A88,NPV!$B$3:$C$44,2,0)</f>
        <v>0</v>
      </c>
      <c r="W88" s="86">
        <f>$D88*HLOOKUP($A88,'Barge - Liquid'!$A$31:$AA$36,4,FALSE)*HLOOKUP($A88,'Barge - Liquid'!$A$37:$AA$42,4,FALSE)</f>
        <v>0</v>
      </c>
      <c r="X88" s="86">
        <f>$D88*HLOOKUP($A88,'Barge - Liquid'!$A$31:$AA$36,4,FALSE)*HLOOKUP($A88,'Barge - Liquid'!$A$37:$AA$42,4,FALSE)*VLOOKUP($A88,NPV!$B$3:$C$44,2,0)</f>
        <v>0</v>
      </c>
      <c r="Y88" s="86">
        <f>$D88*HLOOKUP($A88,'Barge - Liquid'!$A$31:$AA$36,5,FALSE)*HLOOKUP($A88,'Barge - Liquid'!$A$37:$AA$42,5,FALSE)</f>
        <v>0</v>
      </c>
      <c r="Z88" s="86">
        <f>$D88*HLOOKUP($A88,'Barge - Liquid'!$A$31:$AA$36,5,FALSE)*HLOOKUP($A88,'Barge - Liquid'!$A$37:$AA$42,5,FALSE)*VLOOKUP($A88,NPV!$B$3:$C$44,2,0)</f>
        <v>0</v>
      </c>
      <c r="AA88" s="86">
        <f t="shared" si="14"/>
        <v>245319.44209411766</v>
      </c>
      <c r="AB88" s="86">
        <f t="shared" si="15"/>
        <v>178701.92061617156</v>
      </c>
      <c r="AD88" s="86">
        <f>$B$11*'Barge - Liquid'!$F$55*'Inputs &amp; Parameters'!$B$45</f>
        <v>1463.4359431952466</v>
      </c>
      <c r="AE88" s="86">
        <f>$B$11*'Barge - Liquid'!$F$55*'Inputs &amp; Parameters'!$B$45*VLOOKUP($A88,NPV!$B$3:$C$44,2,0)</f>
        <v>897.91468212596749</v>
      </c>
      <c r="AF88" s="86">
        <f>$B$11*'Barge - Liquid'!$E$55*'Inputs &amp; Parameters'!$B$44</f>
        <v>28169.18724513644</v>
      </c>
      <c r="AG88" s="86">
        <f>$B$11*'Barge - Liquid'!$E$55*'Inputs &amp; Parameters'!$B$44*VLOOKUP($A88,NPV!$B$3:$C$44,2,0)</f>
        <v>17283.658316972858</v>
      </c>
      <c r="AH88" s="86">
        <f t="shared" si="16"/>
        <v>29632.623188331687</v>
      </c>
      <c r="AI88" s="86">
        <f t="shared" si="17"/>
        <v>18181.572999098826</v>
      </c>
      <c r="AK88" s="16">
        <f t="shared" si="6"/>
        <v>3655821.315104655</v>
      </c>
      <c r="AL88" s="16">
        <f t="shared" si="7"/>
        <v>2271270.2488943478</v>
      </c>
    </row>
    <row r="89" spans="1:38" x14ac:dyDescent="0.25">
      <c r="A89" s="5">
        <f t="shared" si="8"/>
        <v>2039</v>
      </c>
      <c r="B89" s="10">
        <f t="shared" si="4"/>
        <v>259.66954545454547</v>
      </c>
      <c r="C89" s="10">
        <f>B89*'Inputs &amp; Parameters'!$C$20/60</f>
        <v>4674.0518181818188</v>
      </c>
      <c r="D89" s="10">
        <f>B89*'Inputs &amp; Parameters'!$B$20</f>
        <v>34065.750865891372</v>
      </c>
      <c r="F89" s="86">
        <f>(($B$10/$B$21)*'Inputs &amp; Parameters'!$B$7 + ('Barge - Liquid'!$B$72/'Barge - Liquid'!$B$70)*'Barge - Liquid'!$B$73)</f>
        <v>2013925.3452709387</v>
      </c>
      <c r="G89" s="86">
        <f>(($B$10/$B$21)*'Inputs &amp; Parameters'!$B$7 + ('Barge - Liquid'!$B$72/'Barge - Liquid'!$B$70)*'Barge - Liquid'!$B$73)*VLOOKUP($A89,NPV!$B$3:$C$44,2,0)</f>
        <v>1198522.1307893635</v>
      </c>
      <c r="H89" s="86">
        <f t="shared" si="9"/>
        <v>1032965.451818182</v>
      </c>
      <c r="I89" s="86">
        <f>SUM(($B$5-1)*C89*$B$7,1*C89*$B$6)*VLOOKUP($A89,NPV!$B$3:$C$44,2,0)</f>
        <v>614735.7732261765</v>
      </c>
      <c r="J89" s="86">
        <f t="shared" si="10"/>
        <v>96250</v>
      </c>
      <c r="K89" s="86">
        <f>J89*VLOOKUP($A89,NPV!$B$3:$C$44,2,0)</f>
        <v>57280.055270845631</v>
      </c>
      <c r="L89" s="86">
        <f t="shared" si="5"/>
        <v>111329.79333125385</v>
      </c>
      <c r="M89" s="86">
        <f>(B89*($B$12*$B$8))*($B$13/365)*($B$68/24)*VLOOKUP($A89,NPV!$B$3:$C$44,2,0)</f>
        <v>66254.303535647181</v>
      </c>
      <c r="N89" s="86">
        <f t="shared" si="11"/>
        <v>126398.65940183081</v>
      </c>
      <c r="O89" s="86">
        <f>N89*VLOOKUP($A89,NPV!$B$3:$C$44,2,0)</f>
        <v>75222.048796858813</v>
      </c>
      <c r="P89" s="86">
        <f t="shared" si="12"/>
        <v>3380869.2498222054</v>
      </c>
      <c r="Q89" s="86">
        <f t="shared" si="13"/>
        <v>2012014.3116188918</v>
      </c>
      <c r="R89" s="8"/>
      <c r="S89" s="86">
        <f>$D89*HLOOKUP($A89,'Barge - Liquid'!$A$31:$AA$36,2,FALSE)*HLOOKUP($A89,'Barge - Liquid'!$A$37:$AA$42,2,FALSE)</f>
        <v>249108.15934653647</v>
      </c>
      <c r="T89" s="86">
        <f>$D89*HLOOKUP($A89,'Barge - Liquid'!$A$31:$AA$36,2,FALSE)*HLOOKUP($A89,'Barge - Liquid'!$A$37:$AA$42,2,FALSE)*VLOOKUP($A89,NPV!$B$3:$D$44,3,0)</f>
        <v>177903.72140984601</v>
      </c>
      <c r="U89" s="86">
        <f>$D89*HLOOKUP($A89,'Barge - Liquid'!$A$31:$AA$36,3,FALSE)*HLOOKUP($A89,'Barge - Liquid'!$A$37:$AA$42,3,FALSE)</f>
        <v>0</v>
      </c>
      <c r="V89" s="86">
        <f>$D89*HLOOKUP($A89,'Barge - Liquid'!$A$31:$AA$36,3,FALSE)*HLOOKUP($A89,'Barge - Liquid'!$A$37:$AA$42,3,FALSE)*VLOOKUP($A89,NPV!$B$3:$C$44,2,0)</f>
        <v>0</v>
      </c>
      <c r="W89" s="86">
        <f>$D89*HLOOKUP($A89,'Barge - Liquid'!$A$31:$AA$36,4,FALSE)*HLOOKUP($A89,'Barge - Liquid'!$A$37:$AA$42,4,FALSE)</f>
        <v>0</v>
      </c>
      <c r="X89" s="86">
        <f>$D89*HLOOKUP($A89,'Barge - Liquid'!$A$31:$AA$36,4,FALSE)*HLOOKUP($A89,'Barge - Liquid'!$A$37:$AA$42,4,FALSE)*VLOOKUP($A89,NPV!$B$3:$C$44,2,0)</f>
        <v>0</v>
      </c>
      <c r="Y89" s="86">
        <f>$D89*HLOOKUP($A89,'Barge - Liquid'!$A$31:$AA$36,5,FALSE)*HLOOKUP($A89,'Barge - Liquid'!$A$37:$AA$42,5,FALSE)</f>
        <v>0</v>
      </c>
      <c r="Z89" s="86">
        <f>$D89*HLOOKUP($A89,'Barge - Liquid'!$A$31:$AA$36,5,FALSE)*HLOOKUP($A89,'Barge - Liquid'!$A$37:$AA$42,5,FALSE)*VLOOKUP($A89,NPV!$B$3:$C$44,2,0)</f>
        <v>0</v>
      </c>
      <c r="AA89" s="86">
        <f t="shared" si="14"/>
        <v>249108.15934653647</v>
      </c>
      <c r="AB89" s="86">
        <f t="shared" si="15"/>
        <v>177903.72140984601</v>
      </c>
      <c r="AD89" s="86">
        <f>$B$11*'Barge - Liquid'!$F$55*'Inputs &amp; Parameters'!$B$45</f>
        <v>1463.4359431952466</v>
      </c>
      <c r="AE89" s="86">
        <f>$B$11*'Barge - Liquid'!$F$55*'Inputs &amp; Parameters'!$B$45*VLOOKUP($A89,NPV!$B$3:$C$44,2,0)</f>
        <v>870.9162775227619</v>
      </c>
      <c r="AF89" s="86">
        <f>$B$11*'Barge - Liquid'!$E$55*'Inputs &amp; Parameters'!$B$44</f>
        <v>28169.18724513644</v>
      </c>
      <c r="AG89" s="86">
        <f>$B$11*'Barge - Liquid'!$E$55*'Inputs &amp; Parameters'!$B$44*VLOOKUP($A89,NPV!$B$3:$C$44,2,0)</f>
        <v>16763.97508920743</v>
      </c>
      <c r="AH89" s="86">
        <f t="shared" si="16"/>
        <v>29632.623188331687</v>
      </c>
      <c r="AI89" s="86">
        <f t="shared" si="17"/>
        <v>17634.891366730193</v>
      </c>
      <c r="AK89" s="16">
        <f t="shared" si="6"/>
        <v>3659610.0323570734</v>
      </c>
      <c r="AL89" s="16">
        <f t="shared" si="7"/>
        <v>2207552.9243954676</v>
      </c>
    </row>
    <row r="90" spans="1:38" x14ac:dyDescent="0.25">
      <c r="A90" s="5">
        <f t="shared" si="8"/>
        <v>2040</v>
      </c>
      <c r="B90" s="10">
        <f t="shared" si="4"/>
        <v>259.66954545454547</v>
      </c>
      <c r="C90" s="10">
        <f>B90*'Inputs &amp; Parameters'!$C$20/60</f>
        <v>4674.0518181818188</v>
      </c>
      <c r="D90" s="10">
        <f>B90*'Inputs &amp; Parameters'!$B$20</f>
        <v>34065.750865891372</v>
      </c>
      <c r="F90" s="86">
        <f>(($B$10/$B$21)*'Inputs &amp; Parameters'!$B$7 + ('Barge - Liquid'!$B$72/'Barge - Liquid'!$B$70)*'Barge - Liquid'!$B$73)</f>
        <v>2013925.3452709387</v>
      </c>
      <c r="G90" s="86">
        <f>(($B$10/$B$21)*'Inputs &amp; Parameters'!$B$7 + ('Barge - Liquid'!$B$72/'Barge - Liquid'!$B$70)*'Barge - Liquid'!$B$73)*VLOOKUP($A90,NPV!$B$3:$C$44,2,0)</f>
        <v>1162485.0929091792</v>
      </c>
      <c r="H90" s="86">
        <f t="shared" si="9"/>
        <v>1032965.451818182</v>
      </c>
      <c r="I90" s="86">
        <f>SUM(($B$5-1)*C90*$B$7,1*C90*$B$6)*VLOOKUP($A90,NPV!$B$3:$C$44,2,0)</f>
        <v>596251.96239202388</v>
      </c>
      <c r="J90" s="86">
        <f t="shared" si="10"/>
        <v>96250</v>
      </c>
      <c r="K90" s="86">
        <f>J90*VLOOKUP($A90,NPV!$B$3:$C$44,2,0)</f>
        <v>55557.76456920043</v>
      </c>
      <c r="L90" s="86">
        <f t="shared" si="5"/>
        <v>111329.79333125385</v>
      </c>
      <c r="M90" s="86">
        <f>(B90*($B$12*$B$8))*($B$13/365)*($B$68/24)*VLOOKUP($A90,NPV!$B$3:$C$44,2,0)</f>
        <v>64262.176077252378</v>
      </c>
      <c r="N90" s="86">
        <f t="shared" si="11"/>
        <v>126398.65940183081</v>
      </c>
      <c r="O90" s="86">
        <f>N90*VLOOKUP($A90,NPV!$B$3:$C$44,2,0)</f>
        <v>72960.280113345128</v>
      </c>
      <c r="P90" s="86">
        <f t="shared" si="12"/>
        <v>3380869.2498222054</v>
      </c>
      <c r="Q90" s="86">
        <f t="shared" si="13"/>
        <v>1951517.2760610008</v>
      </c>
      <c r="R90" s="8"/>
      <c r="S90" s="86">
        <f>$D90*HLOOKUP($A90,'Barge - Liquid'!$A$31:$AA$36,2,FALSE)*HLOOKUP($A90,'Barge - Liquid'!$A$37:$AA$42,2,FALSE)</f>
        <v>252896.87659895531</v>
      </c>
      <c r="T90" s="86">
        <f>$D90*HLOOKUP($A90,'Barge - Liquid'!$A$31:$AA$36,2,FALSE)*HLOOKUP($A90,'Barge - Liquid'!$A$37:$AA$42,2,FALSE)*VLOOKUP($A90,NPV!$B$3:$D$44,3,0)</f>
        <v>177068.11905028293</v>
      </c>
      <c r="U90" s="86">
        <f>$D90*HLOOKUP($A90,'Barge - Liquid'!$A$31:$AA$36,3,FALSE)*HLOOKUP($A90,'Barge - Liquid'!$A$37:$AA$42,3,FALSE)</f>
        <v>0</v>
      </c>
      <c r="V90" s="86">
        <f>$D90*HLOOKUP($A90,'Barge - Liquid'!$A$31:$AA$36,3,FALSE)*HLOOKUP($A90,'Barge - Liquid'!$A$37:$AA$42,3,FALSE)*VLOOKUP($A90,NPV!$B$3:$C$44,2,0)</f>
        <v>0</v>
      </c>
      <c r="W90" s="86">
        <f>$D90*HLOOKUP($A90,'Barge - Liquid'!$A$31:$AA$36,4,FALSE)*HLOOKUP($A90,'Barge - Liquid'!$A$37:$AA$42,4,FALSE)</f>
        <v>0</v>
      </c>
      <c r="X90" s="86">
        <f>$D90*HLOOKUP($A90,'Barge - Liquid'!$A$31:$AA$36,4,FALSE)*HLOOKUP($A90,'Barge - Liquid'!$A$37:$AA$42,4,FALSE)*VLOOKUP($A90,NPV!$B$3:$C$44,2,0)</f>
        <v>0</v>
      </c>
      <c r="Y90" s="86">
        <f>$D90*HLOOKUP($A90,'Barge - Liquid'!$A$31:$AA$36,5,FALSE)*HLOOKUP($A90,'Barge - Liquid'!$A$37:$AA$42,5,FALSE)</f>
        <v>0</v>
      </c>
      <c r="Z90" s="86">
        <f>$D90*HLOOKUP($A90,'Barge - Liquid'!$A$31:$AA$36,5,FALSE)*HLOOKUP($A90,'Barge - Liquid'!$A$37:$AA$42,5,FALSE)*VLOOKUP($A90,NPV!$B$3:$C$44,2,0)</f>
        <v>0</v>
      </c>
      <c r="AA90" s="86">
        <f t="shared" si="14"/>
        <v>252896.87659895531</v>
      </c>
      <c r="AB90" s="86">
        <f t="shared" si="15"/>
        <v>177068.11905028293</v>
      </c>
      <c r="AD90" s="86">
        <f>$B$11*'Barge - Liquid'!$F$55*'Inputs &amp; Parameters'!$B$45</f>
        <v>1463.4359431952466</v>
      </c>
      <c r="AE90" s="86">
        <f>$B$11*'Barge - Liquid'!$F$55*'Inputs &amp; Parameters'!$B$45*VLOOKUP($A90,NPV!$B$3:$C$44,2,0)</f>
        <v>844.72965812101074</v>
      </c>
      <c r="AF90" s="86">
        <f>$B$11*'Barge - Liquid'!$E$55*'Inputs &amp; Parameters'!$B$44</f>
        <v>28169.18724513644</v>
      </c>
      <c r="AG90" s="86">
        <f>$B$11*'Barge - Liquid'!$E$55*'Inputs &amp; Parameters'!$B$44*VLOOKUP($A90,NPV!$B$3:$C$44,2,0)</f>
        <v>16259.917642296248</v>
      </c>
      <c r="AH90" s="86">
        <f t="shared" si="16"/>
        <v>29632.623188331687</v>
      </c>
      <c r="AI90" s="86">
        <f t="shared" si="17"/>
        <v>17104.647300417259</v>
      </c>
      <c r="AK90" s="16">
        <f t="shared" si="6"/>
        <v>3663398.7496094923</v>
      </c>
      <c r="AL90" s="16">
        <f t="shared" si="7"/>
        <v>2145690.0424117008</v>
      </c>
    </row>
    <row r="91" spans="1:38" x14ac:dyDescent="0.25">
      <c r="A91" s="5">
        <f t="shared" si="8"/>
        <v>2041</v>
      </c>
      <c r="B91" s="10">
        <f t="shared" si="4"/>
        <v>259.66954545454547</v>
      </c>
      <c r="C91" s="10">
        <f>B91*'Inputs &amp; Parameters'!$C$20/60</f>
        <v>4674.0518181818188</v>
      </c>
      <c r="D91" s="10">
        <f>B91*'Inputs &amp; Parameters'!$B$20</f>
        <v>34065.750865891372</v>
      </c>
      <c r="F91" s="86">
        <f>(($B$10/$B$21)*'Inputs &amp; Parameters'!$B$7 + ('Barge - Liquid'!$B$72/'Barge - Liquid'!$B$70)*'Barge - Liquid'!$B$73)</f>
        <v>2013925.3452709387</v>
      </c>
      <c r="G91" s="86">
        <f>(($B$10/$B$21)*'Inputs &amp; Parameters'!$B$7 + ('Barge - Liquid'!$B$72/'Barge - Liquid'!$B$70)*'Barge - Liquid'!$B$73)*VLOOKUP($A91,NPV!$B$3:$C$44,2,0)</f>
        <v>1127531.6129090001</v>
      </c>
      <c r="H91" s="86">
        <f t="shared" si="9"/>
        <v>1032965.451818182</v>
      </c>
      <c r="I91" s="86">
        <f>SUM(($B$5-1)*C91*$B$7,1*C91*$B$6)*VLOOKUP($A91,NPV!$B$3:$C$44,2,0)</f>
        <v>578323.92084580404</v>
      </c>
      <c r="J91" s="86">
        <f t="shared" si="10"/>
        <v>96250</v>
      </c>
      <c r="K91" s="86">
        <f>J91*VLOOKUP($A91,NPV!$B$3:$C$44,2,0)</f>
        <v>53887.259523957742</v>
      </c>
      <c r="L91" s="86">
        <f t="shared" si="5"/>
        <v>111329.79333125385</v>
      </c>
      <c r="M91" s="86">
        <f>(B91*($B$12*$B$8))*($B$13/365)*($B$68/24)*VLOOKUP($A91,NPV!$B$3:$C$44,2,0)</f>
        <v>62329.947698595905</v>
      </c>
      <c r="N91" s="86">
        <f t="shared" si="11"/>
        <v>126398.65940183081</v>
      </c>
      <c r="O91" s="86">
        <f>N91*VLOOKUP($A91,NPV!$B$3:$C$44,2,0)</f>
        <v>70766.518053681022</v>
      </c>
      <c r="P91" s="86">
        <f t="shared" si="12"/>
        <v>3380869.2498222054</v>
      </c>
      <c r="Q91" s="86">
        <f t="shared" si="13"/>
        <v>1892839.259031039</v>
      </c>
      <c r="R91" s="8"/>
      <c r="S91" s="86">
        <f>$D91*HLOOKUP($A91,'Barge - Liquid'!$A$31:$AA$36,2,FALSE)*HLOOKUP($A91,'Barge - Liquid'!$A$37:$AA$42,2,FALSE)</f>
        <v>256685.59385137408</v>
      </c>
      <c r="T91" s="86">
        <f>$D91*HLOOKUP($A91,'Barge - Liquid'!$A$31:$AA$36,2,FALSE)*HLOOKUP($A91,'Barge - Liquid'!$A$37:$AA$42,2,FALSE)*VLOOKUP($A91,NPV!$B$3:$D$44,3,0)</f>
        <v>176196.88720946855</v>
      </c>
      <c r="U91" s="86">
        <f>$D91*HLOOKUP($A91,'Barge - Liquid'!$A$31:$AA$36,3,FALSE)*HLOOKUP($A91,'Barge - Liquid'!$A$37:$AA$42,3,FALSE)</f>
        <v>0</v>
      </c>
      <c r="V91" s="86">
        <f>$D91*HLOOKUP($A91,'Barge - Liquid'!$A$31:$AA$36,3,FALSE)*HLOOKUP($A91,'Barge - Liquid'!$A$37:$AA$42,3,FALSE)*VLOOKUP($A91,NPV!$B$3:$C$44,2,0)</f>
        <v>0</v>
      </c>
      <c r="W91" s="86">
        <f>$D91*HLOOKUP($A91,'Barge - Liquid'!$A$31:$AA$36,4,FALSE)*HLOOKUP($A91,'Barge - Liquid'!$A$37:$AA$42,4,FALSE)</f>
        <v>0</v>
      </c>
      <c r="X91" s="86">
        <f>$D91*HLOOKUP($A91,'Barge - Liquid'!$A$31:$AA$36,4,FALSE)*HLOOKUP($A91,'Barge - Liquid'!$A$37:$AA$42,4,FALSE)*VLOOKUP($A91,NPV!$B$3:$C$44,2,0)</f>
        <v>0</v>
      </c>
      <c r="Y91" s="86">
        <f>$D91*HLOOKUP($A91,'Barge - Liquid'!$A$31:$AA$36,5,FALSE)*HLOOKUP($A91,'Barge - Liquid'!$A$37:$AA$42,5,FALSE)</f>
        <v>0</v>
      </c>
      <c r="Z91" s="86">
        <f>$D91*HLOOKUP($A91,'Barge - Liquid'!$A$31:$AA$36,5,FALSE)*HLOOKUP($A91,'Barge - Liquid'!$A$37:$AA$42,5,FALSE)*VLOOKUP($A91,NPV!$B$3:$C$44,2,0)</f>
        <v>0</v>
      </c>
      <c r="AA91" s="86">
        <f t="shared" si="14"/>
        <v>256685.59385137408</v>
      </c>
      <c r="AB91" s="86">
        <f t="shared" si="15"/>
        <v>176196.88720946855</v>
      </c>
      <c r="AD91" s="86">
        <f>$B$11*'Barge - Liquid'!$F$55*'Inputs &amp; Parameters'!$B$45</f>
        <v>1463.4359431952466</v>
      </c>
      <c r="AE91" s="86">
        <f>$B$11*'Barge - Liquid'!$F$55*'Inputs &amp; Parameters'!$B$45*VLOOKUP($A91,NPV!$B$3:$C$44,2,0)</f>
        <v>819.3304152483131</v>
      </c>
      <c r="AF91" s="86">
        <f>$B$11*'Barge - Liquid'!$E$55*'Inputs &amp; Parameters'!$B$44</f>
        <v>28169.18724513644</v>
      </c>
      <c r="AG91" s="86">
        <f>$B$11*'Barge - Liquid'!$E$55*'Inputs &amp; Parameters'!$B$44*VLOOKUP($A91,NPV!$B$3:$C$44,2,0)</f>
        <v>15771.016141897429</v>
      </c>
      <c r="AH91" s="86">
        <f t="shared" si="16"/>
        <v>29632.623188331687</v>
      </c>
      <c r="AI91" s="86">
        <f t="shared" si="17"/>
        <v>16590.346557145742</v>
      </c>
      <c r="AK91" s="16">
        <f t="shared" si="6"/>
        <v>3667187.4668619111</v>
      </c>
      <c r="AL91" s="16">
        <f t="shared" si="7"/>
        <v>2085626.4927976532</v>
      </c>
    </row>
    <row r="92" spans="1:38" x14ac:dyDescent="0.25">
      <c r="A92" s="5">
        <f t="shared" si="8"/>
        <v>2042</v>
      </c>
      <c r="B92" s="10">
        <f t="shared" si="4"/>
        <v>259.66954545454547</v>
      </c>
      <c r="C92" s="10">
        <f>B92*'Inputs &amp; Parameters'!$C$20/60</f>
        <v>4674.0518181818188</v>
      </c>
      <c r="D92" s="10">
        <f>B92*'Inputs &amp; Parameters'!$B$20</f>
        <v>34065.750865891372</v>
      </c>
      <c r="F92" s="86">
        <f>(($B$10/$B$21)*'Inputs &amp; Parameters'!$B$7 + ('Barge - Liquid'!$B$72/'Barge - Liquid'!$B$70)*'Barge - Liquid'!$B$73)</f>
        <v>2013925.3452709387</v>
      </c>
      <c r="G92" s="86">
        <f>(($B$10/$B$21)*'Inputs &amp; Parameters'!$B$7 + ('Barge - Liquid'!$B$72/'Barge - Liquid'!$B$70)*'Barge - Liquid'!$B$73)*VLOOKUP($A92,NPV!$B$3:$C$44,2,0)</f>
        <v>1093629.1104839963</v>
      </c>
      <c r="H92" s="86">
        <f t="shared" si="9"/>
        <v>1032965.451818182</v>
      </c>
      <c r="I92" s="86">
        <f>SUM(($B$5-1)*C92*$B$7,1*C92*$B$6)*VLOOKUP($A92,NPV!$B$3:$C$44,2,0)</f>
        <v>560934.93777478568</v>
      </c>
      <c r="J92" s="86">
        <f t="shared" si="10"/>
        <v>96250</v>
      </c>
      <c r="K92" s="86">
        <f>J92*VLOOKUP($A92,NPV!$B$3:$C$44,2,0)</f>
        <v>52266.983049425551</v>
      </c>
      <c r="L92" s="86">
        <f t="shared" si="5"/>
        <v>111329.79333125385</v>
      </c>
      <c r="M92" s="86">
        <f>(B92*($B$12*$B$8))*($B$13/365)*($B$68/24)*VLOOKUP($A92,NPV!$B$3:$C$44,2,0)</f>
        <v>60455.817360422807</v>
      </c>
      <c r="N92" s="86">
        <f t="shared" si="11"/>
        <v>126398.65940183081</v>
      </c>
      <c r="O92" s="86">
        <f>N92*VLOOKUP($A92,NPV!$B$3:$C$44,2,0)</f>
        <v>68638.717801824459</v>
      </c>
      <c r="P92" s="86">
        <f t="shared" si="12"/>
        <v>3380869.2498222054</v>
      </c>
      <c r="Q92" s="86">
        <f t="shared" si="13"/>
        <v>1835925.5664704547</v>
      </c>
      <c r="R92" s="8"/>
      <c r="S92" s="86">
        <f>$D92*HLOOKUP($A92,'Barge - Liquid'!$A$31:$AA$36,2,FALSE)*HLOOKUP($A92,'Barge - Liquid'!$A$37:$AA$42,2,FALSE)</f>
        <v>260474.31110379289</v>
      </c>
      <c r="T92" s="86">
        <f>$D92*HLOOKUP($A92,'Barge - Liquid'!$A$31:$AA$36,2,FALSE)*HLOOKUP($A92,'Barge - Liquid'!$A$37:$AA$42,2,FALSE)*VLOOKUP($A92,NPV!$B$3:$D$44,3,0)</f>
        <v>175291.74438392249</v>
      </c>
      <c r="U92" s="86">
        <f>$D92*HLOOKUP($A92,'Barge - Liquid'!$A$31:$AA$36,3,FALSE)*HLOOKUP($A92,'Barge - Liquid'!$A$37:$AA$42,3,FALSE)</f>
        <v>0</v>
      </c>
      <c r="V92" s="86">
        <f>$D92*HLOOKUP($A92,'Barge - Liquid'!$A$31:$AA$36,3,FALSE)*HLOOKUP($A92,'Barge - Liquid'!$A$37:$AA$42,3,FALSE)*VLOOKUP($A92,NPV!$B$3:$C$44,2,0)</f>
        <v>0</v>
      </c>
      <c r="W92" s="86">
        <f>$D92*HLOOKUP($A92,'Barge - Liquid'!$A$31:$AA$36,4,FALSE)*HLOOKUP($A92,'Barge - Liquid'!$A$37:$AA$42,4,FALSE)</f>
        <v>0</v>
      </c>
      <c r="X92" s="86">
        <f>$D92*HLOOKUP($A92,'Barge - Liquid'!$A$31:$AA$36,4,FALSE)*HLOOKUP($A92,'Barge - Liquid'!$A$37:$AA$42,4,FALSE)*VLOOKUP($A92,NPV!$B$3:$C$44,2,0)</f>
        <v>0</v>
      </c>
      <c r="Y92" s="86">
        <f>$D92*HLOOKUP($A92,'Barge - Liquid'!$A$31:$AA$36,5,FALSE)*HLOOKUP($A92,'Barge - Liquid'!$A$37:$AA$42,5,FALSE)</f>
        <v>0</v>
      </c>
      <c r="Z92" s="86">
        <f>$D92*HLOOKUP($A92,'Barge - Liquid'!$A$31:$AA$36,5,FALSE)*HLOOKUP($A92,'Barge - Liquid'!$A$37:$AA$42,5,FALSE)*VLOOKUP($A92,NPV!$B$3:$C$44,2,0)</f>
        <v>0</v>
      </c>
      <c r="AA92" s="86">
        <f t="shared" si="14"/>
        <v>260474.31110379289</v>
      </c>
      <c r="AB92" s="86">
        <f t="shared" si="15"/>
        <v>175291.74438392249</v>
      </c>
      <c r="AD92" s="86">
        <f>$B$11*'Barge - Liquid'!$F$55*'Inputs &amp; Parameters'!$B$45</f>
        <v>1463.4359431952466</v>
      </c>
      <c r="AE92" s="86">
        <f>$B$11*'Barge - Liquid'!$F$55*'Inputs &amp; Parameters'!$B$45*VLOOKUP($A92,NPV!$B$3:$C$44,2,0)</f>
        <v>794.6948741496733</v>
      </c>
      <c r="AF92" s="86">
        <f>$B$11*'Barge - Liquid'!$E$55*'Inputs &amp; Parameters'!$B$44</f>
        <v>28169.18724513644</v>
      </c>
      <c r="AG92" s="86">
        <f>$B$11*'Barge - Liquid'!$E$55*'Inputs &amp; Parameters'!$B$44*VLOOKUP($A92,NPV!$B$3:$C$44,2,0)</f>
        <v>15296.814880598866</v>
      </c>
      <c r="AH92" s="86">
        <f t="shared" si="16"/>
        <v>29632.623188331687</v>
      </c>
      <c r="AI92" s="86">
        <f t="shared" si="17"/>
        <v>16091.509754748538</v>
      </c>
      <c r="AK92" s="16">
        <f t="shared" si="6"/>
        <v>3670976.18411433</v>
      </c>
      <c r="AL92" s="16">
        <f t="shared" si="7"/>
        <v>2027308.8206091258</v>
      </c>
    </row>
    <row r="93" spans="1:38" x14ac:dyDescent="0.25">
      <c r="A93" s="5">
        <f t="shared" si="8"/>
        <v>2043</v>
      </c>
      <c r="B93" s="10">
        <f t="shared" si="4"/>
        <v>259.66954545454547</v>
      </c>
      <c r="C93" s="10">
        <f>B93*'Inputs &amp; Parameters'!$C$20/60</f>
        <v>4674.0518181818188</v>
      </c>
      <c r="D93" s="10">
        <f>B93*'Inputs &amp; Parameters'!$B$20</f>
        <v>34065.750865891372</v>
      </c>
      <c r="F93" s="86">
        <f>(($B$10/$B$21)*'Inputs &amp; Parameters'!$B$7 + ('Barge - Liquid'!$B$72/'Barge - Liquid'!$B$70)*'Barge - Liquid'!$B$73)</f>
        <v>2013925.3452709387</v>
      </c>
      <c r="G93" s="86">
        <f>(($B$10/$B$21)*'Inputs &amp; Parameters'!$B$7 + ('Barge - Liquid'!$B$72/'Barge - Liquid'!$B$70)*'Barge - Liquid'!$B$73)*VLOOKUP($A93,NPV!$B$3:$C$44,2,0)</f>
        <v>1060745.9849505299</v>
      </c>
      <c r="H93" s="86">
        <f t="shared" si="9"/>
        <v>1032965.451818182</v>
      </c>
      <c r="I93" s="86">
        <f>SUM(($B$5-1)*C93*$B$7,1*C93*$B$6)*VLOOKUP($A93,NPV!$B$3:$C$44,2,0)</f>
        <v>544068.80482520442</v>
      </c>
      <c r="J93" s="86">
        <f t="shared" si="10"/>
        <v>96250</v>
      </c>
      <c r="K93" s="86">
        <f>J93*VLOOKUP($A93,NPV!$B$3:$C$44,2,0)</f>
        <v>50695.424878201309</v>
      </c>
      <c r="L93" s="86">
        <f t="shared" si="5"/>
        <v>111329.79333125385</v>
      </c>
      <c r="M93" s="86">
        <f>(B93*($B$12*$B$8))*($B$13/365)*($B$68/24)*VLOOKUP($A93,NPV!$B$3:$C$44,2,0)</f>
        <v>58638.038176937735</v>
      </c>
      <c r="N93" s="86">
        <f t="shared" si="11"/>
        <v>126398.65940183081</v>
      </c>
      <c r="O93" s="86">
        <f>N93*VLOOKUP($A93,NPV!$B$3:$C$44,2,0)</f>
        <v>66574.896025047972</v>
      </c>
      <c r="P93" s="86">
        <f t="shared" si="12"/>
        <v>3380869.2498222054</v>
      </c>
      <c r="Q93" s="86">
        <f t="shared" si="13"/>
        <v>1780723.1488559211</v>
      </c>
      <c r="R93" s="8"/>
      <c r="S93" s="86">
        <f>$D93*HLOOKUP($A93,'Barge - Liquid'!$A$31:$AA$36,2,FALSE)*HLOOKUP($A93,'Barge - Liquid'!$A$37:$AA$42,2,FALSE)</f>
        <v>264263.02835621173</v>
      </c>
      <c r="T93" s="86">
        <f>$D93*HLOOKUP($A93,'Barge - Liquid'!$A$31:$AA$36,2,FALSE)*HLOOKUP($A93,'Barge - Liquid'!$A$37:$AA$42,2,FALSE)*VLOOKUP($A93,NPV!$B$3:$D$44,3,0)</f>
        <v>174354.35537652185</v>
      </c>
      <c r="U93" s="86">
        <f>$D93*HLOOKUP($A93,'Barge - Liquid'!$A$31:$AA$36,3,FALSE)*HLOOKUP($A93,'Barge - Liquid'!$A$37:$AA$42,3,FALSE)</f>
        <v>0</v>
      </c>
      <c r="V93" s="86">
        <f>$D93*HLOOKUP($A93,'Barge - Liquid'!$A$31:$AA$36,3,FALSE)*HLOOKUP($A93,'Barge - Liquid'!$A$37:$AA$42,3,FALSE)*VLOOKUP($A93,NPV!$B$3:$C$44,2,0)</f>
        <v>0</v>
      </c>
      <c r="W93" s="86">
        <f>$D93*HLOOKUP($A93,'Barge - Liquid'!$A$31:$AA$36,4,FALSE)*HLOOKUP($A93,'Barge - Liquid'!$A$37:$AA$42,4,FALSE)</f>
        <v>0</v>
      </c>
      <c r="X93" s="86">
        <f>$D93*HLOOKUP($A93,'Barge - Liquid'!$A$31:$AA$36,4,FALSE)*HLOOKUP($A93,'Barge - Liquid'!$A$37:$AA$42,4,FALSE)*VLOOKUP($A93,NPV!$B$3:$C$44,2,0)</f>
        <v>0</v>
      </c>
      <c r="Y93" s="86">
        <f>$D93*HLOOKUP($A93,'Barge - Liquid'!$A$31:$AA$36,5,FALSE)*HLOOKUP($A93,'Barge - Liquid'!$A$37:$AA$42,5,FALSE)</f>
        <v>0</v>
      </c>
      <c r="Z93" s="86">
        <f>$D93*HLOOKUP($A93,'Barge - Liquid'!$A$31:$AA$36,5,FALSE)*HLOOKUP($A93,'Barge - Liquid'!$A$37:$AA$42,5,FALSE)*VLOOKUP($A93,NPV!$B$3:$C$44,2,0)</f>
        <v>0</v>
      </c>
      <c r="AA93" s="86">
        <f t="shared" si="14"/>
        <v>264263.02835621173</v>
      </c>
      <c r="AB93" s="86">
        <f t="shared" si="15"/>
        <v>174354.35537652185</v>
      </c>
      <c r="AD93" s="86">
        <f>$B$11*'Barge - Liquid'!$F$55*'Inputs &amp; Parameters'!$B$45</f>
        <v>1463.4359431952466</v>
      </c>
      <c r="AE93" s="86">
        <f>$B$11*'Barge - Liquid'!$F$55*'Inputs &amp; Parameters'!$B$45*VLOOKUP($A93,NPV!$B$3:$C$44,2,0)</f>
        <v>770.80007192014864</v>
      </c>
      <c r="AF93" s="86">
        <f>$B$11*'Barge - Liquid'!$E$55*'Inputs &amp; Parameters'!$B$44</f>
        <v>28169.18724513644</v>
      </c>
      <c r="AG93" s="86">
        <f>$B$11*'Barge - Liquid'!$E$55*'Inputs &amp; Parameters'!$B$44*VLOOKUP($A93,NPV!$B$3:$C$44,2,0)</f>
        <v>14836.871853151179</v>
      </c>
      <c r="AH93" s="86">
        <f t="shared" si="16"/>
        <v>29632.623188331687</v>
      </c>
      <c r="AI93" s="86">
        <f t="shared" si="17"/>
        <v>15607.671925071327</v>
      </c>
      <c r="AK93" s="16">
        <f t="shared" si="6"/>
        <v>3674764.9013667488</v>
      </c>
      <c r="AL93" s="16">
        <f t="shared" si="7"/>
        <v>1970685.1761575143</v>
      </c>
    </row>
    <row r="94" spans="1:38" x14ac:dyDescent="0.25">
      <c r="A94" s="5">
        <f t="shared" si="8"/>
        <v>2044</v>
      </c>
      <c r="B94" s="10">
        <f t="shared" si="4"/>
        <v>259.66954545454547</v>
      </c>
      <c r="C94" s="10">
        <f>B94*'Inputs &amp; Parameters'!$C$20/60</f>
        <v>4674.0518181818188</v>
      </c>
      <c r="D94" s="10">
        <f>B94*'Inputs &amp; Parameters'!$B$20</f>
        <v>34065.750865891372</v>
      </c>
      <c r="F94" s="86">
        <f>(($B$10/$B$21)*'Inputs &amp; Parameters'!$B$7 + ('Barge - Liquid'!$B$72/'Barge - Liquid'!$B$70)*'Barge - Liquid'!$B$73)</f>
        <v>2013925.3452709387</v>
      </c>
      <c r="G94" s="86">
        <f>(($B$10/$B$21)*'Inputs &amp; Parameters'!$B$7 + ('Barge - Liquid'!$B$72/'Barge - Liquid'!$B$70)*'Barge - Liquid'!$B$73)*VLOOKUP($A94,NPV!$B$3:$C$44,2,0)</f>
        <v>1028851.5857910089</v>
      </c>
      <c r="H94" s="86">
        <f t="shared" si="9"/>
        <v>1032965.451818182</v>
      </c>
      <c r="I94" s="86">
        <f>SUM(($B$5-1)*C94*$B$7,1*C94*$B$6)*VLOOKUP($A94,NPV!$B$3:$C$44,2,0)</f>
        <v>527709.80099437875</v>
      </c>
      <c r="J94" s="86">
        <f t="shared" si="10"/>
        <v>96250</v>
      </c>
      <c r="K94" s="86">
        <f>J94*VLOOKUP($A94,NPV!$B$3:$C$44,2,0)</f>
        <v>49171.120153444535</v>
      </c>
      <c r="L94" s="86">
        <f t="shared" si="5"/>
        <v>111329.79333125385</v>
      </c>
      <c r="M94" s="86">
        <f>(B94*($B$12*$B$8))*($B$13/365)*($B$68/24)*VLOOKUP($A94,NPV!$B$3:$C$44,2,0)</f>
        <v>56874.915787524485</v>
      </c>
      <c r="N94" s="86">
        <f t="shared" si="11"/>
        <v>126398.65940183081</v>
      </c>
      <c r="O94" s="86">
        <f>N94*VLOOKUP($A94,NPV!$B$3:$C$44,2,0)</f>
        <v>64573.129025264781</v>
      </c>
      <c r="P94" s="86">
        <f t="shared" si="12"/>
        <v>3380869.2498222054</v>
      </c>
      <c r="Q94" s="86">
        <f t="shared" si="13"/>
        <v>1727180.5517516215</v>
      </c>
      <c r="R94" s="8"/>
      <c r="S94" s="86">
        <f>$D94*HLOOKUP($A94,'Barge - Liquid'!$A$31:$AA$36,2,FALSE)*HLOOKUP($A94,'Barge - Liquid'!$A$37:$AA$42,2,FALSE)</f>
        <v>268051.74560863047</v>
      </c>
      <c r="T94" s="86">
        <f>$D94*HLOOKUP($A94,'Barge - Liquid'!$A$31:$AA$36,2,FALSE)*HLOOKUP($A94,'Barge - Liquid'!$A$37:$AA$42,2,FALSE)*VLOOKUP($A94,NPV!$B$3:$D$44,3,0)</f>
        <v>173386.33274142831</v>
      </c>
      <c r="U94" s="86">
        <f>$D94*HLOOKUP($A94,'Barge - Liquid'!$A$31:$AA$36,3,FALSE)*HLOOKUP($A94,'Barge - Liquid'!$A$37:$AA$42,3,FALSE)</f>
        <v>0</v>
      </c>
      <c r="V94" s="86">
        <f>$D94*HLOOKUP($A94,'Barge - Liquid'!$A$31:$AA$36,3,FALSE)*HLOOKUP($A94,'Barge - Liquid'!$A$37:$AA$42,3,FALSE)*VLOOKUP($A94,NPV!$B$3:$C$44,2,0)</f>
        <v>0</v>
      </c>
      <c r="W94" s="86">
        <f>$D94*HLOOKUP($A94,'Barge - Liquid'!$A$31:$AA$36,4,FALSE)*HLOOKUP($A94,'Barge - Liquid'!$A$37:$AA$42,4,FALSE)</f>
        <v>0</v>
      </c>
      <c r="X94" s="86">
        <f>$D94*HLOOKUP($A94,'Barge - Liquid'!$A$31:$AA$36,4,FALSE)*HLOOKUP($A94,'Barge - Liquid'!$A$37:$AA$42,4,FALSE)*VLOOKUP($A94,NPV!$B$3:$C$44,2,0)</f>
        <v>0</v>
      </c>
      <c r="Y94" s="86">
        <f>$D94*HLOOKUP($A94,'Barge - Liquid'!$A$31:$AA$36,5,FALSE)*HLOOKUP($A94,'Barge - Liquid'!$A$37:$AA$42,5,FALSE)</f>
        <v>0</v>
      </c>
      <c r="Z94" s="86">
        <f>$D94*HLOOKUP($A94,'Barge - Liquid'!$A$31:$AA$36,5,FALSE)*HLOOKUP($A94,'Barge - Liquid'!$A$37:$AA$42,5,FALSE)*VLOOKUP($A94,NPV!$B$3:$C$44,2,0)</f>
        <v>0</v>
      </c>
      <c r="AA94" s="86">
        <f t="shared" si="14"/>
        <v>268051.74560863047</v>
      </c>
      <c r="AB94" s="86">
        <f t="shared" si="15"/>
        <v>173386.33274142831</v>
      </c>
      <c r="AD94" s="86">
        <f>$B$11*'Barge - Liquid'!$F$55*'Inputs &amp; Parameters'!$B$45</f>
        <v>1463.4359431952466</v>
      </c>
      <c r="AE94" s="86">
        <f>$B$11*'Barge - Liquid'!$F$55*'Inputs &amp; Parameters'!$B$45*VLOOKUP($A94,NPV!$B$3:$C$44,2,0)</f>
        <v>747.62373610101724</v>
      </c>
      <c r="AF94" s="86">
        <f>$B$11*'Barge - Liquid'!$E$55*'Inputs &amp; Parameters'!$B$44</f>
        <v>28169.18724513644</v>
      </c>
      <c r="AG94" s="86">
        <f>$B$11*'Barge - Liquid'!$E$55*'Inputs &amp; Parameters'!$B$44*VLOOKUP($A94,NPV!$B$3:$C$44,2,0)</f>
        <v>14390.758344472531</v>
      </c>
      <c r="AH94" s="86">
        <f t="shared" si="16"/>
        <v>29632.623188331687</v>
      </c>
      <c r="AI94" s="86">
        <f t="shared" si="17"/>
        <v>15138.382080573549</v>
      </c>
      <c r="AK94" s="16">
        <f t="shared" si="6"/>
        <v>3678553.6186191677</v>
      </c>
      <c r="AL94" s="16">
        <f t="shared" si="7"/>
        <v>1915705.2665736235</v>
      </c>
    </row>
    <row r="95" spans="1:38" x14ac:dyDescent="0.25">
      <c r="A95" s="5">
        <f t="shared" si="8"/>
        <v>2045</v>
      </c>
      <c r="B95" s="10">
        <f t="shared" si="4"/>
        <v>259.66954545454547</v>
      </c>
      <c r="C95" s="10">
        <f>B95*'Inputs &amp; Parameters'!$C$20/60</f>
        <v>4674.0518181818188</v>
      </c>
      <c r="D95" s="10">
        <f>B95*'Inputs &amp; Parameters'!$B$20</f>
        <v>34065.750865891372</v>
      </c>
      <c r="F95" s="86">
        <f>(($B$10/$B$21)*'Inputs &amp; Parameters'!$B$7 + ('Barge - Liquid'!$B$72/'Barge - Liquid'!$B$70)*'Barge - Liquid'!$B$73)</f>
        <v>2013925.3452709387</v>
      </c>
      <c r="G95" s="86">
        <f>(($B$10/$B$21)*'Inputs &amp; Parameters'!$B$7 + ('Barge - Liquid'!$B$72/'Barge - Liquid'!$B$70)*'Barge - Liquid'!$B$73)*VLOOKUP($A95,NPV!$B$3:$C$44,2,0)</f>
        <v>997916.18408439262</v>
      </c>
      <c r="H95" s="86">
        <f t="shared" si="9"/>
        <v>1032965.451818182</v>
      </c>
      <c r="I95" s="86">
        <f>SUM(($B$5-1)*C95*$B$7,1*C95*$B$6)*VLOOKUP($A95,NPV!$B$3:$C$44,2,0)</f>
        <v>511842.67797708896</v>
      </c>
      <c r="J95" s="86">
        <f t="shared" si="10"/>
        <v>96250</v>
      </c>
      <c r="K95" s="86">
        <f>J95*VLOOKUP($A95,NPV!$B$3:$C$44,2,0)</f>
        <v>47692.648063476758</v>
      </c>
      <c r="L95" s="86">
        <f t="shared" si="5"/>
        <v>111329.79333125385</v>
      </c>
      <c r="M95" s="86">
        <f>(B95*($B$12*$B$8))*($B$13/365)*($B$68/24)*VLOOKUP($A95,NPV!$B$3:$C$44,2,0)</f>
        <v>55164.806777424325</v>
      </c>
      <c r="N95" s="86">
        <f t="shared" si="11"/>
        <v>126398.65940183081</v>
      </c>
      <c r="O95" s="86">
        <f>N95*VLOOKUP($A95,NPV!$B$3:$C$44,2,0)</f>
        <v>62631.550945940617</v>
      </c>
      <c r="P95" s="86">
        <f t="shared" si="12"/>
        <v>3380869.2498222054</v>
      </c>
      <c r="Q95" s="86">
        <f t="shared" si="13"/>
        <v>1675247.8678483232</v>
      </c>
      <c r="R95" s="8"/>
      <c r="S95" s="86">
        <f>$D95*HLOOKUP($A95,'Barge - Liquid'!$A$31:$AA$36,2,FALSE)*HLOOKUP($A95,'Barge - Liquid'!$A$37:$AA$42,2,FALSE)</f>
        <v>271840.46286104928</v>
      </c>
      <c r="T95" s="86">
        <f>$D95*HLOOKUP($A95,'Barge - Liquid'!$A$31:$AA$36,2,FALSE)*HLOOKUP($A95,'Barge - Liquid'!$A$37:$AA$42,2,FALSE)*VLOOKUP($A95,NPV!$B$3:$D$44,3,0)</f>
        <v>172389.23819299499</v>
      </c>
      <c r="U95" s="86">
        <f>$D95*HLOOKUP($A95,'Barge - Liquid'!$A$31:$AA$36,3,FALSE)*HLOOKUP($A95,'Barge - Liquid'!$A$37:$AA$42,3,FALSE)</f>
        <v>0</v>
      </c>
      <c r="V95" s="86">
        <f>$D95*HLOOKUP($A95,'Barge - Liquid'!$A$31:$AA$36,3,FALSE)*HLOOKUP($A95,'Barge - Liquid'!$A$37:$AA$42,3,FALSE)*VLOOKUP($A95,NPV!$B$3:$C$44,2,0)</f>
        <v>0</v>
      </c>
      <c r="W95" s="86">
        <f>$D95*HLOOKUP($A95,'Barge - Liquid'!$A$31:$AA$36,4,FALSE)*HLOOKUP($A95,'Barge - Liquid'!$A$37:$AA$42,4,FALSE)</f>
        <v>0</v>
      </c>
      <c r="X95" s="86">
        <f>$D95*HLOOKUP($A95,'Barge - Liquid'!$A$31:$AA$36,4,FALSE)*HLOOKUP($A95,'Barge - Liquid'!$A$37:$AA$42,4,FALSE)*VLOOKUP($A95,NPV!$B$3:$C$44,2,0)</f>
        <v>0</v>
      </c>
      <c r="Y95" s="86">
        <f>$D95*HLOOKUP($A95,'Barge - Liquid'!$A$31:$AA$36,5,FALSE)*HLOOKUP($A95,'Barge - Liquid'!$A$37:$AA$42,5,FALSE)</f>
        <v>0</v>
      </c>
      <c r="Z95" s="86">
        <f>$D95*HLOOKUP($A95,'Barge - Liquid'!$A$31:$AA$36,5,FALSE)*HLOOKUP($A95,'Barge - Liquid'!$A$37:$AA$42,5,FALSE)*VLOOKUP($A95,NPV!$B$3:$C$44,2,0)</f>
        <v>0</v>
      </c>
      <c r="AA95" s="86">
        <f t="shared" si="14"/>
        <v>271840.46286104928</v>
      </c>
      <c r="AB95" s="86">
        <f t="shared" si="15"/>
        <v>172389.23819299499</v>
      </c>
      <c r="AD95" s="86">
        <f>$B$11*'Barge - Liquid'!$F$55*'Inputs &amp; Parameters'!$B$45</f>
        <v>1463.4359431952466</v>
      </c>
      <c r="AE95" s="86">
        <f>$B$11*'Barge - Liquid'!$F$55*'Inputs &amp; Parameters'!$B$45*VLOOKUP($A95,NPV!$B$3:$C$44,2,0)</f>
        <v>725.14426391951224</v>
      </c>
      <c r="AF95" s="86">
        <f>$B$11*'Barge - Liquid'!$E$55*'Inputs &amp; Parameters'!$B$44</f>
        <v>28169.18724513644</v>
      </c>
      <c r="AG95" s="86">
        <f>$B$11*'Barge - Liquid'!$E$55*'Inputs &amp; Parameters'!$B$44*VLOOKUP($A95,NPV!$B$3:$C$44,2,0)</f>
        <v>13958.058530041253</v>
      </c>
      <c r="AH95" s="86">
        <f t="shared" si="16"/>
        <v>29632.623188331687</v>
      </c>
      <c r="AI95" s="86">
        <f t="shared" si="17"/>
        <v>14683.202793960765</v>
      </c>
      <c r="AK95" s="16">
        <f t="shared" si="6"/>
        <v>3682342.3358715866</v>
      </c>
      <c r="AL95" s="16">
        <f t="shared" si="7"/>
        <v>1862320.308835279</v>
      </c>
    </row>
    <row r="96" spans="1:38" x14ac:dyDescent="0.25">
      <c r="A96" s="5">
        <f t="shared" si="8"/>
        <v>2046</v>
      </c>
      <c r="B96" s="10">
        <f t="shared" si="4"/>
        <v>259.66954545454547</v>
      </c>
      <c r="C96" s="10">
        <f>B96*'Inputs &amp; Parameters'!$C$20/60</f>
        <v>4674.0518181818188</v>
      </c>
      <c r="D96" s="10">
        <f>B96*'Inputs &amp; Parameters'!$B$20</f>
        <v>34065.750865891372</v>
      </c>
      <c r="F96" s="86">
        <f>(($B$10/$B$21)*'Inputs &amp; Parameters'!$B$7 + ('Barge - Liquid'!$B$72/'Barge - Liquid'!$B$70)*'Barge - Liquid'!$B$73)</f>
        <v>2013925.3452709387</v>
      </c>
      <c r="G96" s="86">
        <f>(($B$10/$B$21)*'Inputs &amp; Parameters'!$B$7 + ('Barge - Liquid'!$B$72/'Barge - Liquid'!$B$70)*'Barge - Liquid'!$B$73)*VLOOKUP($A96,NPV!$B$3:$C$44,2,0)</f>
        <v>967910.94479572529</v>
      </c>
      <c r="H96" s="86">
        <f t="shared" si="9"/>
        <v>1032965.451818182</v>
      </c>
      <c r="I96" s="86">
        <f>SUM(($B$5-1)*C96*$B$7,1*C96*$B$6)*VLOOKUP($A96,NPV!$B$3:$C$44,2,0)</f>
        <v>496452.64595255966</v>
      </c>
      <c r="J96" s="86">
        <f t="shared" si="10"/>
        <v>96250</v>
      </c>
      <c r="K96" s="86">
        <f>J96*VLOOKUP($A96,NPV!$B$3:$C$44,2,0)</f>
        <v>46258.630517436242</v>
      </c>
      <c r="L96" s="86">
        <f t="shared" si="5"/>
        <v>111329.79333125385</v>
      </c>
      <c r="M96" s="86">
        <f>(B96*($B$12*$B$8))*($B$13/365)*($B$68/24)*VLOOKUP($A96,NPV!$B$3:$C$44,2,0)</f>
        <v>53506.117145901393</v>
      </c>
      <c r="N96" s="86">
        <f t="shared" si="11"/>
        <v>126398.65940183081</v>
      </c>
      <c r="O96" s="86">
        <f>N96*VLOOKUP($A96,NPV!$B$3:$C$44,2,0)</f>
        <v>60748.352032920106</v>
      </c>
      <c r="P96" s="86">
        <f t="shared" si="12"/>
        <v>3380869.2498222054</v>
      </c>
      <c r="Q96" s="86">
        <f t="shared" si="13"/>
        <v>1624876.6904445426</v>
      </c>
      <c r="R96" s="8"/>
      <c r="S96" s="86">
        <f>$D96*HLOOKUP($A96,'Barge - Liquid'!$A$31:$AA$36,2,FALSE)*HLOOKUP($A96,'Barge - Liquid'!$A$37:$AA$42,2,FALSE)</f>
        <v>275629.18011346814</v>
      </c>
      <c r="T96" s="86">
        <f>$D96*HLOOKUP($A96,'Barge - Liquid'!$A$31:$AA$36,2,FALSE)*HLOOKUP($A96,'Barge - Liquid'!$A$37:$AA$42,2,FALSE)*VLOOKUP($A96,NPV!$B$3:$D$44,3,0)</f>
        <v>171364.58397950928</v>
      </c>
      <c r="U96" s="86">
        <f>$D96*HLOOKUP($A96,'Barge - Liquid'!$A$31:$AA$36,3,FALSE)*HLOOKUP($A96,'Barge - Liquid'!$A$37:$AA$42,3,FALSE)</f>
        <v>0</v>
      </c>
      <c r="V96" s="86">
        <f>$D96*HLOOKUP($A96,'Barge - Liquid'!$A$31:$AA$36,3,FALSE)*HLOOKUP($A96,'Barge - Liquid'!$A$37:$AA$42,3,FALSE)*VLOOKUP($A96,NPV!$B$3:$C$44,2,0)</f>
        <v>0</v>
      </c>
      <c r="W96" s="86">
        <f>$D96*HLOOKUP($A96,'Barge - Liquid'!$A$31:$AA$36,4,FALSE)*HLOOKUP($A96,'Barge - Liquid'!$A$37:$AA$42,4,FALSE)</f>
        <v>0</v>
      </c>
      <c r="X96" s="86">
        <f>$D96*HLOOKUP($A96,'Barge - Liquid'!$A$31:$AA$36,4,FALSE)*HLOOKUP($A96,'Barge - Liquid'!$A$37:$AA$42,4,FALSE)*VLOOKUP($A96,NPV!$B$3:$C$44,2,0)</f>
        <v>0</v>
      </c>
      <c r="Y96" s="86">
        <f>$D96*HLOOKUP($A96,'Barge - Liquid'!$A$31:$AA$36,5,FALSE)*HLOOKUP($A96,'Barge - Liquid'!$A$37:$AA$42,5,FALSE)</f>
        <v>0</v>
      </c>
      <c r="Z96" s="86">
        <f>$D96*HLOOKUP($A96,'Barge - Liquid'!$A$31:$AA$36,5,FALSE)*HLOOKUP($A96,'Barge - Liquid'!$A$37:$AA$42,5,FALSE)*VLOOKUP($A96,NPV!$B$3:$C$44,2,0)</f>
        <v>0</v>
      </c>
      <c r="AA96" s="86">
        <f t="shared" si="14"/>
        <v>275629.18011346814</v>
      </c>
      <c r="AB96" s="86">
        <f t="shared" si="15"/>
        <v>171364.58397950928</v>
      </c>
      <c r="AD96" s="86">
        <f>$B$11*'Barge - Liquid'!$F$55*'Inputs &amp; Parameters'!$B$45</f>
        <v>1463.4359431952466</v>
      </c>
      <c r="AE96" s="86">
        <f>$B$11*'Barge - Liquid'!$F$55*'Inputs &amp; Parameters'!$B$45*VLOOKUP($A96,NPV!$B$3:$C$44,2,0)</f>
        <v>703.34070215277632</v>
      </c>
      <c r="AF96" s="86">
        <f>$B$11*'Barge - Liquid'!$E$55*'Inputs &amp; Parameters'!$B$44</f>
        <v>28169.18724513644</v>
      </c>
      <c r="AG96" s="86">
        <f>$B$11*'Barge - Liquid'!$E$55*'Inputs &amp; Parameters'!$B$44*VLOOKUP($A96,NPV!$B$3:$C$44,2,0)</f>
        <v>13538.369088303836</v>
      </c>
      <c r="AH96" s="86">
        <f t="shared" si="16"/>
        <v>29632.623188331687</v>
      </c>
      <c r="AI96" s="86">
        <f t="shared" si="17"/>
        <v>14241.709790456613</v>
      </c>
      <c r="AK96" s="16">
        <f t="shared" si="6"/>
        <v>3686131.0531240054</v>
      </c>
      <c r="AL96" s="16">
        <f t="shared" si="7"/>
        <v>1810482.9842145084</v>
      </c>
    </row>
    <row r="97" spans="1:38" x14ac:dyDescent="0.25">
      <c r="A97" s="5">
        <f t="shared" si="8"/>
        <v>2047</v>
      </c>
      <c r="B97" s="10">
        <f t="shared" si="4"/>
        <v>259.66954545454547</v>
      </c>
      <c r="C97" s="10">
        <f>B97*'Inputs &amp; Parameters'!$C$20/60</f>
        <v>4674.0518181818188</v>
      </c>
      <c r="D97" s="10">
        <f>B97*'Inputs &amp; Parameters'!$B$20</f>
        <v>34065.750865891372</v>
      </c>
      <c r="F97" s="86">
        <f>(($B$10/$B$21)*'Inputs &amp; Parameters'!$B$7 + ('Barge - Liquid'!$B$72/'Barge - Liquid'!$B$70)*'Barge - Liquid'!$B$73)</f>
        <v>2013925.3452709387</v>
      </c>
      <c r="G97" s="86">
        <f>(($B$10/$B$21)*'Inputs &amp; Parameters'!$B$7 + ('Barge - Liquid'!$B$72/'Barge - Liquid'!$B$70)*'Barge - Liquid'!$B$73)*VLOOKUP($A97,NPV!$B$3:$C$44,2,0)</f>
        <v>938807.8998988606</v>
      </c>
      <c r="H97" s="86">
        <f t="shared" si="9"/>
        <v>1032965.451818182</v>
      </c>
      <c r="I97" s="86">
        <f>SUM(($B$5-1)*C97*$B$7,1*C97*$B$6)*VLOOKUP($A97,NPV!$B$3:$C$44,2,0)</f>
        <v>481525.35979879694</v>
      </c>
      <c r="J97" s="86">
        <f t="shared" si="10"/>
        <v>96250</v>
      </c>
      <c r="K97" s="86">
        <f>J97*VLOOKUP($A97,NPV!$B$3:$C$44,2,0)</f>
        <v>44867.730860752898</v>
      </c>
      <c r="L97" s="86">
        <f t="shared" si="5"/>
        <v>111329.79333125385</v>
      </c>
      <c r="M97" s="86">
        <f>(B97*($B$12*$B$8))*($B$13/365)*($B$68/24)*VLOOKUP($A97,NPV!$B$3:$C$44,2,0)</f>
        <v>51897.300820466917</v>
      </c>
      <c r="N97" s="86">
        <f t="shared" si="11"/>
        <v>126398.65940183081</v>
      </c>
      <c r="O97" s="86">
        <f>N97*VLOOKUP($A97,NPV!$B$3:$C$44,2,0)</f>
        <v>58921.776947546168</v>
      </c>
      <c r="P97" s="86">
        <f t="shared" si="12"/>
        <v>3380869.2498222054</v>
      </c>
      <c r="Q97" s="86">
        <f t="shared" si="13"/>
        <v>1576020.0683264234</v>
      </c>
      <c r="R97" s="8"/>
      <c r="S97" s="86">
        <f>$D97*HLOOKUP($A97,'Barge - Liquid'!$A$31:$AA$36,2,FALSE)*HLOOKUP($A97,'Barge - Liquid'!$A$37:$AA$42,2,FALSE)</f>
        <v>280365.07667899161</v>
      </c>
      <c r="T97" s="86">
        <f>$D97*HLOOKUP($A97,'Barge - Liquid'!$A$31:$AA$36,2,FALSE)*HLOOKUP($A97,'Barge - Liquid'!$A$37:$AA$42,2,FALSE)*VLOOKUP($A97,NPV!$B$3:$D$44,3,0)</f>
        <v>170891.16925387355</v>
      </c>
      <c r="U97" s="86">
        <f>$D97*HLOOKUP($A97,'Barge - Liquid'!$A$31:$AA$36,3,FALSE)*HLOOKUP($A97,'Barge - Liquid'!$A$37:$AA$42,3,FALSE)</f>
        <v>0</v>
      </c>
      <c r="V97" s="86">
        <f>$D97*HLOOKUP($A97,'Barge - Liquid'!$A$31:$AA$36,3,FALSE)*HLOOKUP($A97,'Barge - Liquid'!$A$37:$AA$42,3,FALSE)*VLOOKUP($A97,NPV!$B$3:$C$44,2,0)</f>
        <v>0</v>
      </c>
      <c r="W97" s="86">
        <f>$D97*HLOOKUP($A97,'Barge - Liquid'!$A$31:$AA$36,4,FALSE)*HLOOKUP($A97,'Barge - Liquid'!$A$37:$AA$42,4,FALSE)</f>
        <v>0</v>
      </c>
      <c r="X97" s="86">
        <f>$D97*HLOOKUP($A97,'Barge - Liquid'!$A$31:$AA$36,4,FALSE)*HLOOKUP($A97,'Barge - Liquid'!$A$37:$AA$42,4,FALSE)*VLOOKUP($A97,NPV!$B$3:$C$44,2,0)</f>
        <v>0</v>
      </c>
      <c r="Y97" s="86">
        <f>$D97*HLOOKUP($A97,'Barge - Liquid'!$A$31:$AA$36,5,FALSE)*HLOOKUP($A97,'Barge - Liquid'!$A$37:$AA$42,5,FALSE)</f>
        <v>0</v>
      </c>
      <c r="Z97" s="86">
        <f>$D97*HLOOKUP($A97,'Barge - Liquid'!$A$31:$AA$36,5,FALSE)*HLOOKUP($A97,'Barge - Liquid'!$A$37:$AA$42,5,FALSE)*VLOOKUP($A97,NPV!$B$3:$C$44,2,0)</f>
        <v>0</v>
      </c>
      <c r="AA97" s="86">
        <f t="shared" si="14"/>
        <v>280365.07667899161</v>
      </c>
      <c r="AB97" s="86">
        <f t="shared" si="15"/>
        <v>170891.16925387355</v>
      </c>
      <c r="AD97" s="86">
        <f>$B$11*'Barge - Liquid'!$F$55*'Inputs &amp; Parameters'!$B$45</f>
        <v>1463.4359431952466</v>
      </c>
      <c r="AE97" s="86">
        <f>$B$11*'Barge - Liquid'!$F$55*'Inputs &amp; Parameters'!$B$45*VLOOKUP($A97,NPV!$B$3:$C$44,2,0)</f>
        <v>682.1927275972613</v>
      </c>
      <c r="AF97" s="86">
        <f>$B$11*'Barge - Liquid'!$E$55*'Inputs &amp; Parameters'!$B$44</f>
        <v>28169.18724513644</v>
      </c>
      <c r="AG97" s="86">
        <f>$B$11*'Barge - Liquid'!$E$55*'Inputs &amp; Parameters'!$B$44*VLOOKUP($A97,NPV!$B$3:$C$44,2,0)</f>
        <v>13131.298824736989</v>
      </c>
      <c r="AH97" s="86">
        <f t="shared" si="16"/>
        <v>29632.623188331687</v>
      </c>
      <c r="AI97" s="86">
        <f t="shared" si="17"/>
        <v>13813.49155233425</v>
      </c>
      <c r="AK97" s="16">
        <f t="shared" si="6"/>
        <v>3690866.9496895289</v>
      </c>
      <c r="AL97" s="16">
        <f t="shared" si="7"/>
        <v>1760724.7291326313</v>
      </c>
    </row>
    <row r="98" spans="1:38" x14ac:dyDescent="0.25">
      <c r="A98" s="88" t="s">
        <v>45</v>
      </c>
      <c r="B98" s="37">
        <f>SUBTOTAL(9,B78:B97)</f>
        <v>5193.3909090909092</v>
      </c>
      <c r="C98" s="37">
        <f>SUBTOTAL(9,C78:C97)</f>
        <v>93481.036363636376</v>
      </c>
      <c r="D98" s="37">
        <f>SUBTOTAL(9,D78:D97)</f>
        <v>681315.01731782709</v>
      </c>
      <c r="F98" s="39">
        <f t="shared" ref="F98:O98" si="18">SUBTOTAL(9,F78:F97)</f>
        <v>40278506.905418776</v>
      </c>
      <c r="G98" s="39">
        <f t="shared" si="18"/>
        <v>25484295.071621418</v>
      </c>
      <c r="H98" s="39">
        <f t="shared" si="18"/>
        <v>20659309.036363639</v>
      </c>
      <c r="I98" s="39">
        <f t="shared" si="18"/>
        <v>13071187.784959229</v>
      </c>
      <c r="J98" s="39">
        <f t="shared" si="18"/>
        <v>1925000</v>
      </c>
      <c r="K98" s="39">
        <f t="shared" si="18"/>
        <v>1217951.5027224463</v>
      </c>
      <c r="L98" s="39">
        <f t="shared" si="18"/>
        <v>2226595.8666250766</v>
      </c>
      <c r="M98" s="39">
        <f t="shared" si="18"/>
        <v>1408771.8346553768</v>
      </c>
      <c r="N98" s="39">
        <f t="shared" si="18"/>
        <v>2527973.1880366155</v>
      </c>
      <c r="O98" s="39">
        <f t="shared" si="18"/>
        <v>1599453.8925772728</v>
      </c>
      <c r="P98" s="39">
        <f>SUBTOTAL(9,P78:P97)</f>
        <v>67617384.996444121</v>
      </c>
      <c r="Q98" s="39">
        <f>SUBTOTAL(9,Q78:Q97)</f>
        <v>42781660.086535737</v>
      </c>
      <c r="R98" s="40"/>
      <c r="S98" s="39">
        <f t="shared" ref="S98:AA98" si="19">SUBTOTAL(9,S78:S97)</f>
        <v>4890286.7935595727</v>
      </c>
      <c r="T98" s="39">
        <f t="shared" si="19"/>
        <v>3586219.0401351852</v>
      </c>
      <c r="U98" s="39">
        <f t="shared" si="19"/>
        <v>0</v>
      </c>
      <c r="V98" s="39">
        <f t="shared" si="19"/>
        <v>0</v>
      </c>
      <c r="W98" s="39">
        <f t="shared" si="19"/>
        <v>0</v>
      </c>
      <c r="X98" s="39">
        <f t="shared" si="19"/>
        <v>0</v>
      </c>
      <c r="Y98" s="39">
        <f t="shared" si="19"/>
        <v>0</v>
      </c>
      <c r="Z98" s="39">
        <f t="shared" si="19"/>
        <v>0</v>
      </c>
      <c r="AA98" s="39">
        <f t="shared" si="19"/>
        <v>4890286.7935595727</v>
      </c>
      <c r="AB98" s="39">
        <f>SUBTOTAL(9,AB78:AB97)</f>
        <v>3586219.0401351852</v>
      </c>
      <c r="AC98" s="1"/>
      <c r="AD98" s="39">
        <f t="shared" ref="AD98:AH98" si="20">SUBTOTAL(9,AD78:AD97)</f>
        <v>29268.718863904938</v>
      </c>
      <c r="AE98" s="39">
        <f t="shared" si="20"/>
        <v>18518.379284703282</v>
      </c>
      <c r="AF98" s="39">
        <f t="shared" si="20"/>
        <v>563383.74490272871</v>
      </c>
      <c r="AG98" s="39">
        <f t="shared" si="20"/>
        <v>356454.06686424819</v>
      </c>
      <c r="AH98" s="39">
        <f t="shared" si="20"/>
        <v>592652.46376663365</v>
      </c>
      <c r="AI98" s="39">
        <f>SUBTOTAL(9,AI78:AI97)</f>
        <v>374972.44614895154</v>
      </c>
      <c r="AJ98" s="1"/>
      <c r="AK98" s="39">
        <f>SUBTOTAL(9,AK78:AK97)</f>
        <v>73100324.253770307</v>
      </c>
      <c r="AL98" s="39">
        <f>SUBTOTAL(9,AL78:AL97)</f>
        <v>46742851.572819859</v>
      </c>
    </row>
    <row r="101" spans="1:38" x14ac:dyDescent="0.25">
      <c r="AL101" s="8"/>
    </row>
    <row r="102" spans="1:38" ht="20.25" thickBot="1" x14ac:dyDescent="0.35">
      <c r="A102" s="19" t="s">
        <v>262</v>
      </c>
      <c r="B102" s="76"/>
    </row>
    <row r="103" spans="1:38" ht="15.75" thickTop="1" x14ac:dyDescent="0.25">
      <c r="F103" s="7"/>
      <c r="G103" s="7"/>
      <c r="H103" s="7"/>
    </row>
    <row r="104" spans="1:38" s="74" customFormat="1" ht="45" x14ac:dyDescent="0.25">
      <c r="A104" s="133" t="s">
        <v>42</v>
      </c>
      <c r="B104" s="15" t="s">
        <v>245</v>
      </c>
      <c r="C104" s="15" t="s">
        <v>246</v>
      </c>
      <c r="D104" s="15" t="s">
        <v>247</v>
      </c>
      <c r="F104" s="15" t="s">
        <v>48</v>
      </c>
      <c r="G104" s="15" t="s">
        <v>67</v>
      </c>
      <c r="H104" s="15" t="s">
        <v>248</v>
      </c>
      <c r="I104" s="15" t="s">
        <v>249</v>
      </c>
      <c r="J104" s="15" t="s">
        <v>250</v>
      </c>
      <c r="K104" s="15" t="s">
        <v>251</v>
      </c>
      <c r="L104" s="15" t="s">
        <v>252</v>
      </c>
      <c r="M104" s="15" t="s">
        <v>253</v>
      </c>
      <c r="N104" s="15" t="s">
        <v>385</v>
      </c>
      <c r="O104" s="15" t="s">
        <v>386</v>
      </c>
      <c r="P104" s="15" t="s">
        <v>45</v>
      </c>
      <c r="Q104" s="15" t="s">
        <v>33</v>
      </c>
      <c r="S104" s="15" t="s">
        <v>214</v>
      </c>
      <c r="T104" s="15" t="s">
        <v>254</v>
      </c>
      <c r="U104" s="15" t="s">
        <v>215</v>
      </c>
      <c r="V104" s="15" t="s">
        <v>255</v>
      </c>
      <c r="W104" s="15" t="s">
        <v>216</v>
      </c>
      <c r="X104" s="15" t="s">
        <v>256</v>
      </c>
      <c r="Y104" s="15" t="s">
        <v>217</v>
      </c>
      <c r="Z104" s="15" t="s">
        <v>257</v>
      </c>
      <c r="AA104" s="15" t="s">
        <v>45</v>
      </c>
      <c r="AB104" s="15" t="s">
        <v>33</v>
      </c>
      <c r="AD104" s="15" t="s">
        <v>258</v>
      </c>
      <c r="AE104" s="15" t="s">
        <v>259</v>
      </c>
      <c r="AF104" s="15" t="s">
        <v>260</v>
      </c>
      <c r="AG104" s="15" t="s">
        <v>261</v>
      </c>
      <c r="AH104" s="15" t="s">
        <v>45</v>
      </c>
      <c r="AI104" s="15" t="s">
        <v>33</v>
      </c>
      <c r="AK104" s="15" t="s">
        <v>45</v>
      </c>
      <c r="AL104" s="15" t="s">
        <v>33</v>
      </c>
    </row>
    <row r="105" spans="1:38" x14ac:dyDescent="0.25">
      <c r="A105" s="84">
        <f>B4</f>
        <v>2028</v>
      </c>
      <c r="B105" s="85">
        <f>'Barge - Liquid'!$B$9*12</f>
        <v>259.66954545454547</v>
      </c>
      <c r="C105" s="85">
        <f>B105*'Inputs &amp; Parameters'!$C$20/60</f>
        <v>4674.0518181818188</v>
      </c>
      <c r="D105" s="85">
        <f>B105*'Inputs &amp; Parameters'!$B$20</f>
        <v>34065.750865891372</v>
      </c>
      <c r="E105" s="90"/>
      <c r="F105" s="86">
        <f>(($B$10/$B$21)*'Inputs &amp; Parameters'!$B$7 + ('Barge - Liquid'!$B$72/'Barge - Liquid'!$B$71)*'Barge - Liquid'!$B$73)</f>
        <v>1713925.3452709387</v>
      </c>
      <c r="G105" s="86">
        <f>(($B$10/$B$21)*'Inputs &amp; Parameters'!$B$7 + ('Barge - Liquid'!$B$72/'Barge - Liquid'!$B$71)*'Barge - Liquid'!$B$73)*VLOOKUP(A105,NPV!$B$4:$D$44,2,0)</f>
        <v>1427052.3642578356</v>
      </c>
      <c r="H105" s="86">
        <f>SUM(($B$5-1)*C105*$B$7,1*C105*$B$6)</f>
        <v>1032965.451818182</v>
      </c>
      <c r="I105" s="86">
        <f>SUM(($B$5-1)*C105*$B$7,1*C105*$B$6)*VLOOKUP(A105,NPV!$B$4:$D$44,2,0)</f>
        <v>860070.01079780038</v>
      </c>
      <c r="J105" s="86">
        <f>($B$65)+($B$67/2)</f>
        <v>77000</v>
      </c>
      <c r="K105" s="86">
        <f>J105*VLOOKUP(A105,NPV!$B$4:$D$44,2,0)</f>
        <v>64111.912663548916</v>
      </c>
      <c r="L105" s="86">
        <f>(B105*($B$12*$B$8))*($B$13/365)*('Barge - Liquid'!$B$69/24)</f>
        <v>4638.7413888022438</v>
      </c>
      <c r="M105" s="86">
        <f>(B105*($B$12*$B$8))*($B$13/365)*('Barge - Liquid'!$B$69/24)*VLOOKUP(A105,NPV!$B$4:$D$44,2,0)</f>
        <v>3862.3192569828448</v>
      </c>
      <c r="N105" s="86">
        <v>0</v>
      </c>
      <c r="O105" s="86">
        <v>0</v>
      </c>
      <c r="P105" s="86">
        <f>SUM(F105,H105,J105,L105)</f>
        <v>2828529.5384779233</v>
      </c>
      <c r="Q105" s="86">
        <f>SUM(G105,I105,K105,M105)</f>
        <v>2355096.6069761673</v>
      </c>
      <c r="R105" s="8"/>
      <c r="S105" s="86">
        <f>$D105*HLOOKUP($A105,$A$31:$AA$36,2,FALSE)*HLOOKUP($A105,$A$37:$AA$42,2,FALSE)</f>
        <v>211220.98682234844</v>
      </c>
      <c r="T105" s="86">
        <f>$D105*HLOOKUP($A105,$A$31:$AA$36,2,FALSE)*HLOOKUP($A105,$A$37:$AA$42,2,FALSE)*VLOOKUP($A105,NPV!$B$3:$D$44,3,0)</f>
        <v>187558.1916153722</v>
      </c>
      <c r="U105" s="86">
        <f>$D105*HLOOKUP($A105,$A$31:$AA$36,3,FALSE)*HLOOKUP($A105,$A$37:$AA$42,3,FALSE)*VLOOKUP($A105,NPV!$B$3:$C$44,2,0)</f>
        <v>0</v>
      </c>
      <c r="V105" s="86">
        <f>$D105*HLOOKUP($A105,$A$31:$AA$36,3,FALSE)*HLOOKUP($A105,$A$37:$AA$42,3,FALSE)*VLOOKUP($A105,NPV!$B$3:$C$44,2,0)*VLOOKUP($A105,NPV!$B$3:$C$44,2,0)</f>
        <v>0</v>
      </c>
      <c r="W105" s="86">
        <f>$D105*HLOOKUP($A105,$A$31:$AA$36,4,FALSE)*HLOOKUP($A105,$A$37:$AA$42,4,FALSE)</f>
        <v>0</v>
      </c>
      <c r="X105" s="86">
        <f>$D105*HLOOKUP($A105,$A$31:$AA$36,4,FALSE)*HLOOKUP($A105,$A$37:$AA$42,4,FALSE)*VLOOKUP($A105,NPV!$B$3:$C$44,2,0)</f>
        <v>0</v>
      </c>
      <c r="Y105" s="86">
        <f>$D105*HLOOKUP($A105,$A$31:$AA$36,5,FALSE)*HLOOKUP($A105,$A$37:$AA$42,5,FALSE)</f>
        <v>0</v>
      </c>
      <c r="Z105" s="86">
        <f>$D105*HLOOKUP($A105,$A$31:$AA$36,5,FALSE)*HLOOKUP($A105,$A$37:$AA$42,5,FALSE)*VLOOKUP($A105,NPV!$B$3:$C$44,2,0)</f>
        <v>0</v>
      </c>
      <c r="AA105" s="86">
        <f>SUM(S105,U105,W105,Y105)</f>
        <v>211220.98682234844</v>
      </c>
      <c r="AB105" s="86">
        <f>SUM(T105,V105,X105,Z105)</f>
        <v>187558.1916153722</v>
      </c>
      <c r="AD105" s="86">
        <f>$B$11*$F$55*'Inputs &amp; Parameters'!$B$45</f>
        <v>1463.4359431952466</v>
      </c>
      <c r="AE105" s="86">
        <f>$B$11*$F$55*'Inputs &amp; Parameters'!$B$45*VLOOKUP($A105,NPV!$B$3:$C$44,2,0)</f>
        <v>1218.4893166082077</v>
      </c>
      <c r="AF105" s="86">
        <f>$B$11*$E$55*'Inputs &amp; Parameters'!$B$44</f>
        <v>28169.18724513644</v>
      </c>
      <c r="AG105" s="86">
        <f>$B$11*$E$55*'Inputs &amp; Parameters'!$B$44*VLOOKUP($A105,NPV!$B$3:$C$44,2,0)</f>
        <v>23454.291850173293</v>
      </c>
      <c r="AH105" s="86">
        <f>SUM(AD105,AF105)</f>
        <v>29632.623188331687</v>
      </c>
      <c r="AI105" s="86">
        <f>SUM(AE105,AG105)</f>
        <v>24672.7811667815</v>
      </c>
      <c r="AK105" s="86">
        <f t="shared" ref="AK105:AK124" si="21">SUM(P105,AA105,AH105)</f>
        <v>3069383.1484886035</v>
      </c>
      <c r="AL105" s="86">
        <f>SUM(Q105,AB105,AI105)</f>
        <v>2567327.5797583209</v>
      </c>
    </row>
    <row r="106" spans="1:38" x14ac:dyDescent="0.25">
      <c r="A106" s="5">
        <f t="shared" ref="A106:A124" si="22">A105+1</f>
        <v>2029</v>
      </c>
      <c r="B106" s="85">
        <f>'Barge - Liquid'!$B$9*12</f>
        <v>259.66954545454547</v>
      </c>
      <c r="C106" s="10">
        <f>B106*'Inputs &amp; Parameters'!$C$20/60</f>
        <v>4674.0518181818188</v>
      </c>
      <c r="D106" s="10">
        <f>B106*'Inputs &amp; Parameters'!$B$20</f>
        <v>34065.750865891372</v>
      </c>
      <c r="F106" s="86">
        <f>(($B$10/$B$21)*'Inputs &amp; Parameters'!$B$7 + ('Barge - Liquid'!$B$72/'Barge - Liquid'!$B$71)*'Barge - Liquid'!$B$73)</f>
        <v>1713925.3452709387</v>
      </c>
      <c r="G106" s="86">
        <f>(($B$10/$B$21)*'Inputs &amp; Parameters'!$B$7 + ('Barge - Liquid'!$B$72/'Barge - Liquid'!$B$71)*'Barge - Liquid'!$B$73)*VLOOKUP(A106,NPV!$B$4:$D$44,2,0)</f>
        <v>1384143.9032568729</v>
      </c>
      <c r="H106" s="86">
        <f t="shared" ref="H106:H124" si="23">SUM(($B$5-1)*C106*$B$7,1*C106*$B$6)</f>
        <v>1032965.451818182</v>
      </c>
      <c r="I106" s="86">
        <f>SUM(($B$5-1)*C106*$B$7,1*C106*$B$6)*VLOOKUP(A106,NPV!$B$4:$D$44,2,0)</f>
        <v>834209.51580775995</v>
      </c>
      <c r="J106" s="86">
        <f t="shared" ref="J106:J124" si="24">($B$65)+($B$67/2)</f>
        <v>77000</v>
      </c>
      <c r="K106" s="86">
        <f>J106*VLOOKUP(A106,NPV!$B$4:$D$44,2,0)</f>
        <v>62184.202389475198</v>
      </c>
      <c r="L106" s="86">
        <f>(B106*($B$12*$B$8))*($B$13/365)*('Barge - Liquid'!$B$69/24)</f>
        <v>4638.7413888022438</v>
      </c>
      <c r="M106" s="86">
        <f>(B106*($B$12*$B$8))*($B$13/365)*('Barge - Liquid'!$B$69/24)*VLOOKUP(A106,NPV!$B$4:$D$44,2,0)</f>
        <v>3746.1874461521297</v>
      </c>
      <c r="N106" s="86">
        <v>0</v>
      </c>
      <c r="O106" s="86">
        <v>0</v>
      </c>
      <c r="P106" s="86">
        <f t="shared" ref="P106:P124" si="25">SUM(F106,H106,J106,L106)</f>
        <v>2828529.5384779233</v>
      </c>
      <c r="Q106" s="86">
        <f t="shared" ref="Q106:Q124" si="26">SUM(G106,I106,K106,M106)</f>
        <v>2284283.8089002604</v>
      </c>
      <c r="R106" s="8"/>
      <c r="S106" s="86">
        <f t="shared" ref="S106:S124" si="27">$D106*HLOOKUP($A106,$A$31:$AA$36,2,FALSE)*HLOOKUP($A106,$A$37:$AA$42,2,FALSE)</f>
        <v>214062.52476166253</v>
      </c>
      <c r="T106" s="86">
        <f>$D106*HLOOKUP($A106,$A$31:$AA$36,2,FALSE)*HLOOKUP($A106,$A$37:$AA$42,2,FALSE)*VLOOKUP($A106,NPV!$B$3:$D$44,3,0)</f>
        <v>186354.3097910583</v>
      </c>
      <c r="U106" s="86">
        <f>$D106*HLOOKUP($A106,$A$31:$AA$36,3,FALSE)*HLOOKUP($A106,$A$37:$AA$42,3,FALSE)*VLOOKUP($A106,NPV!$B$3:$C$44,2,0)</f>
        <v>0</v>
      </c>
      <c r="V106" s="86">
        <f>$D106*HLOOKUP($A106,$A$31:$AA$36,3,FALSE)*HLOOKUP($A106,$A$37:$AA$42,3,FALSE)*VLOOKUP($A106,NPV!$B$3:$C$44,2,0)*VLOOKUP($A106,NPV!$B$3:$C$44,2,0)</f>
        <v>0</v>
      </c>
      <c r="W106" s="86">
        <f t="shared" ref="W106:W124" si="28">$D106*HLOOKUP($A106,$A$31:$AA$36,4,FALSE)*HLOOKUP($A106,$A$37:$AA$42,4,FALSE)</f>
        <v>0</v>
      </c>
      <c r="X106" s="86">
        <f>$D106*HLOOKUP($A106,$A$31:$AA$36,4,FALSE)*HLOOKUP($A106,$A$37:$AA$42,4,FALSE)*VLOOKUP($A106,NPV!$B$3:$C$44,2,0)</f>
        <v>0</v>
      </c>
      <c r="Y106" s="86">
        <f t="shared" ref="Y106:Y124" si="29">$D106*HLOOKUP($A106,$A$31:$AA$36,5,FALSE)*HLOOKUP($A106,$A$37:$AA$42,5,FALSE)</f>
        <v>0</v>
      </c>
      <c r="Z106" s="86">
        <f>$D106*HLOOKUP($A106,$A$31:$AA$36,5,FALSE)*HLOOKUP($A106,$A$37:$AA$42,5,FALSE)*VLOOKUP($A106,NPV!$B$3:$C$44,2,0)</f>
        <v>0</v>
      </c>
      <c r="AA106" s="86">
        <f t="shared" ref="AA106:AA124" si="30">SUM(S106,U106,W106,Y106)</f>
        <v>214062.52476166253</v>
      </c>
      <c r="AB106" s="86">
        <f t="shared" ref="AB106:AB124" si="31">SUM(T106,V106,X106,Z106)</f>
        <v>186354.3097910583</v>
      </c>
      <c r="AD106" s="86">
        <f>$B$11*$F$55*'Inputs &amp; Parameters'!$B$45</f>
        <v>1463.4359431952466</v>
      </c>
      <c r="AE106" s="86">
        <f>$B$11*$F$55*'Inputs &amp; Parameters'!$B$45*VLOOKUP($A106,NPV!$B$3:$C$44,2,0)</f>
        <v>1181.8519074764381</v>
      </c>
      <c r="AF106" s="86">
        <f>$B$11*$E$55*'Inputs &amp; Parameters'!$B$44</f>
        <v>28169.18724513644</v>
      </c>
      <c r="AG106" s="86">
        <f>$B$11*$E$55*'Inputs &amp; Parameters'!$B$44*VLOOKUP($A106,NPV!$B$3:$C$44,2,0)</f>
        <v>22749.070659721918</v>
      </c>
      <c r="AH106" s="86">
        <f t="shared" ref="AH106:AH124" si="32">SUM(AD106,AF106)</f>
        <v>29632.623188331687</v>
      </c>
      <c r="AI106" s="86">
        <f t="shared" ref="AI106:AI124" si="33">SUM(AE106,AG106)</f>
        <v>23930.922567198355</v>
      </c>
      <c r="AK106" s="16">
        <f t="shared" si="21"/>
        <v>3072224.6864279173</v>
      </c>
      <c r="AL106" s="16">
        <f t="shared" ref="AL106:AL124" si="34">SUM(Q106,AB106,AI106)</f>
        <v>2494569.0412585172</v>
      </c>
    </row>
    <row r="107" spans="1:38" x14ac:dyDescent="0.25">
      <c r="A107" s="5">
        <f t="shared" si="22"/>
        <v>2030</v>
      </c>
      <c r="B107" s="85">
        <f>'Barge - Liquid'!$B$9*12</f>
        <v>259.66954545454547</v>
      </c>
      <c r="C107" s="10">
        <f>B107*'Inputs &amp; Parameters'!$C$20/60</f>
        <v>4674.0518181818188</v>
      </c>
      <c r="D107" s="10">
        <f>B107*'Inputs &amp; Parameters'!$B$20</f>
        <v>34065.750865891372</v>
      </c>
      <c r="F107" s="86">
        <f>(($B$10/$B$21)*'Inputs &amp; Parameters'!$B$7 + ('Barge - Liquid'!$B$72/'Barge - Liquid'!$B$71)*'Barge - Liquid'!$B$73)</f>
        <v>1713925.3452709387</v>
      </c>
      <c r="G107" s="86">
        <f>(($B$10/$B$21)*'Inputs &amp; Parameters'!$B$7 + ('Barge - Liquid'!$B$72/'Barge - Liquid'!$B$71)*'Barge - Liquid'!$B$73)*VLOOKUP(A107,NPV!$B$4:$D$44,2,0)</f>
        <v>1342525.609366511</v>
      </c>
      <c r="H107" s="86">
        <f t="shared" si="23"/>
        <v>1032965.451818182</v>
      </c>
      <c r="I107" s="86">
        <f>SUM(($B$5-1)*C107*$B$7,1*C107*$B$6)*VLOOKUP(A107,NPV!$B$4:$D$44,2,0)</f>
        <v>809126.5914721241</v>
      </c>
      <c r="J107" s="86">
        <f t="shared" si="24"/>
        <v>77000</v>
      </c>
      <c r="K107" s="86">
        <f>J107*VLOOKUP(A107,NPV!$B$4:$D$44,2,0)</f>
        <v>60314.454305989522</v>
      </c>
      <c r="L107" s="86">
        <f>(B107*($B$12*$B$8))*($B$13/365)*('Barge - Liquid'!$B$69/24)</f>
        <v>4638.7413888022438</v>
      </c>
      <c r="M107" s="86">
        <f>(B107*($B$12*$B$8))*($B$13/365)*('Barge - Liquid'!$B$69/24)*VLOOKUP(A107,NPV!$B$4:$D$44,2,0)</f>
        <v>3633.5474744443545</v>
      </c>
      <c r="N107" s="86">
        <v>0</v>
      </c>
      <c r="O107" s="86">
        <v>0</v>
      </c>
      <c r="P107" s="86">
        <f t="shared" si="25"/>
        <v>2828529.5384779233</v>
      </c>
      <c r="Q107" s="86">
        <f t="shared" si="26"/>
        <v>2215600.2026190693</v>
      </c>
      <c r="R107" s="8"/>
      <c r="S107" s="86">
        <f t="shared" si="27"/>
        <v>217851.24201408133</v>
      </c>
      <c r="T107" s="86">
        <f>$D107*HLOOKUP($A107,$A$31:$AA$36,2,FALSE)*HLOOKUP($A107,$A$37:$AA$42,2,FALSE)*VLOOKUP($A107,NPV!$B$3:$D$44,3,0)</f>
        <v>185933.93741082511</v>
      </c>
      <c r="U107" s="86">
        <f>$D107*HLOOKUP($A107,$A$31:$AA$36,3,FALSE)*HLOOKUP($A107,$A$37:$AA$42,3,FALSE)*VLOOKUP($A107,NPV!$B$3:$C$44,2,0)</f>
        <v>0</v>
      </c>
      <c r="V107" s="86">
        <f>$D107*HLOOKUP($A107,$A$31:$AA$36,3,FALSE)*HLOOKUP($A107,$A$37:$AA$42,3,FALSE)*VLOOKUP($A107,NPV!$B$3:$C$44,2,0)*VLOOKUP($A107,NPV!$B$3:$C$44,2,0)</f>
        <v>0</v>
      </c>
      <c r="W107" s="86">
        <f t="shared" si="28"/>
        <v>0</v>
      </c>
      <c r="X107" s="86">
        <f>$D107*HLOOKUP($A107,$A$31:$AA$36,4,FALSE)*HLOOKUP($A107,$A$37:$AA$42,4,FALSE)*VLOOKUP($A107,NPV!$B$3:$C$44,2,0)</f>
        <v>0</v>
      </c>
      <c r="Y107" s="86">
        <f t="shared" si="29"/>
        <v>0</v>
      </c>
      <c r="Z107" s="86">
        <f>$D107*HLOOKUP($A107,$A$31:$AA$36,5,FALSE)*HLOOKUP($A107,$A$37:$AA$42,5,FALSE)*VLOOKUP($A107,NPV!$B$3:$C$44,2,0)</f>
        <v>0</v>
      </c>
      <c r="AA107" s="86">
        <f t="shared" si="30"/>
        <v>217851.24201408133</v>
      </c>
      <c r="AB107" s="86">
        <f t="shared" si="31"/>
        <v>185933.93741082511</v>
      </c>
      <c r="AD107" s="86">
        <f>$B$11*$F$55*'Inputs &amp; Parameters'!$B$45</f>
        <v>1463.4359431952466</v>
      </c>
      <c r="AE107" s="86">
        <f>$B$11*$F$55*'Inputs &amp; Parameters'!$B$45*VLOOKUP($A107,NPV!$B$3:$C$44,2,0)</f>
        <v>1146.3161081245764</v>
      </c>
      <c r="AF107" s="86">
        <f>$B$11*$E$55*'Inputs &amp; Parameters'!$B$44</f>
        <v>28169.18724513644</v>
      </c>
      <c r="AG107" s="86">
        <f>$B$11*$E$55*'Inputs &amp; Parameters'!$B$44*VLOOKUP($A107,NPV!$B$3:$C$44,2,0)</f>
        <v>22065.05398615123</v>
      </c>
      <c r="AH107" s="86">
        <f t="shared" si="32"/>
        <v>29632.623188331687</v>
      </c>
      <c r="AI107" s="86">
        <f t="shared" si="33"/>
        <v>23211.370094275808</v>
      </c>
      <c r="AK107" s="16">
        <f t="shared" si="21"/>
        <v>3076013.4036803362</v>
      </c>
      <c r="AL107" s="16">
        <f t="shared" si="34"/>
        <v>2424745.5101241702</v>
      </c>
    </row>
    <row r="108" spans="1:38" x14ac:dyDescent="0.25">
      <c r="A108" s="5">
        <f t="shared" si="22"/>
        <v>2031</v>
      </c>
      <c r="B108" s="85">
        <f>'Barge - Liquid'!$B$9*12</f>
        <v>259.66954545454547</v>
      </c>
      <c r="C108" s="10">
        <f>B108*'Inputs &amp; Parameters'!$C$20/60</f>
        <v>4674.0518181818188</v>
      </c>
      <c r="D108" s="10">
        <f>B108*'Inputs &amp; Parameters'!$B$20</f>
        <v>34065.750865891372</v>
      </c>
      <c r="F108" s="86">
        <f>(($B$10/$B$21)*'Inputs &amp; Parameters'!$B$7 + ('Barge - Liquid'!$B$72/'Barge - Liquid'!$B$71)*'Barge - Liquid'!$B$73)</f>
        <v>1713925.3452709387</v>
      </c>
      <c r="G108" s="86">
        <f>(($B$10/$B$21)*'Inputs &amp; Parameters'!$B$7 + ('Barge - Liquid'!$B$72/'Barge - Liquid'!$B$71)*'Barge - Liquid'!$B$73)*VLOOKUP(A108,NPV!$B$4:$D$44,2,0)</f>
        <v>1302158.6899772175</v>
      </c>
      <c r="H108" s="86">
        <f t="shared" si="23"/>
        <v>1032965.451818182</v>
      </c>
      <c r="I108" s="86">
        <f>SUM(($B$5-1)*C108*$B$7,1*C108*$B$6)*VLOOKUP(A108,NPV!$B$4:$D$44,2,0)</f>
        <v>784797.85787790909</v>
      </c>
      <c r="J108" s="86">
        <f t="shared" si="24"/>
        <v>77000</v>
      </c>
      <c r="K108" s="86">
        <f>J108*VLOOKUP(A108,NPV!$B$4:$D$44,2,0)</f>
        <v>58500.925612017003</v>
      </c>
      <c r="L108" s="86">
        <f>(B108*($B$12*$B$8))*($B$13/365)*('Barge - Liquid'!$B$69/24)</f>
        <v>4638.7413888022438</v>
      </c>
      <c r="M108" s="86">
        <f>(B108*($B$12*$B$8))*($B$13/365)*('Barge - Liquid'!$B$69/24)*VLOOKUP(A108,NPV!$B$4:$D$44,2,0)</f>
        <v>3524.2943496065518</v>
      </c>
      <c r="N108" s="86">
        <v>0</v>
      </c>
      <c r="O108" s="86">
        <v>0</v>
      </c>
      <c r="P108" s="86">
        <f t="shared" si="25"/>
        <v>2828529.5384779233</v>
      </c>
      <c r="Q108" s="86">
        <f t="shared" si="26"/>
        <v>2148981.7678167503</v>
      </c>
      <c r="R108" s="8"/>
      <c r="S108" s="86">
        <f t="shared" si="27"/>
        <v>221639.95926650014</v>
      </c>
      <c r="T108" s="86">
        <f>$D108*HLOOKUP($A108,$A$31:$AA$36,2,FALSE)*HLOOKUP($A108,$A$37:$AA$42,2,FALSE)*VLOOKUP($A108,NPV!$B$3:$D$44,3,0)</f>
        <v>185458.40304404552</v>
      </c>
      <c r="U108" s="86">
        <f>$D108*HLOOKUP($A108,$A$31:$AA$36,3,FALSE)*HLOOKUP($A108,$A$37:$AA$42,3,FALSE)*VLOOKUP($A108,NPV!$B$3:$C$44,2,0)</f>
        <v>0</v>
      </c>
      <c r="V108" s="86">
        <f>$D108*HLOOKUP($A108,$A$31:$AA$36,3,FALSE)*HLOOKUP($A108,$A$37:$AA$42,3,FALSE)*VLOOKUP($A108,NPV!$B$3:$C$44,2,0)*VLOOKUP($A108,NPV!$B$3:$C$44,2,0)</f>
        <v>0</v>
      </c>
      <c r="W108" s="86">
        <f t="shared" si="28"/>
        <v>0</v>
      </c>
      <c r="X108" s="86">
        <f>$D108*HLOOKUP($A108,$A$31:$AA$36,4,FALSE)*HLOOKUP($A108,$A$37:$AA$42,4,FALSE)*VLOOKUP($A108,NPV!$B$3:$C$44,2,0)</f>
        <v>0</v>
      </c>
      <c r="Y108" s="86">
        <f t="shared" si="29"/>
        <v>0</v>
      </c>
      <c r="Z108" s="86">
        <f>$D108*HLOOKUP($A108,$A$31:$AA$36,5,FALSE)*HLOOKUP($A108,$A$37:$AA$42,5,FALSE)*VLOOKUP($A108,NPV!$B$3:$C$44,2,0)</f>
        <v>0</v>
      </c>
      <c r="AA108" s="86">
        <f t="shared" si="30"/>
        <v>221639.95926650014</v>
      </c>
      <c r="AB108" s="86">
        <f t="shared" si="31"/>
        <v>185458.40304404552</v>
      </c>
      <c r="AD108" s="86">
        <f>$B$11*$F$55*'Inputs &amp; Parameters'!$B$45</f>
        <v>1463.4359431952466</v>
      </c>
      <c r="AE108" s="86">
        <f>$B$11*$F$55*'Inputs &amp; Parameters'!$B$45*VLOOKUP($A108,NPV!$B$3:$C$44,2,0)</f>
        <v>1111.8487954651566</v>
      </c>
      <c r="AF108" s="86">
        <f>$B$11*$E$55*'Inputs &amp; Parameters'!$B$44</f>
        <v>28169.18724513644</v>
      </c>
      <c r="AG108" s="86">
        <f>$B$11*$E$55*'Inputs &amp; Parameters'!$B$44*VLOOKUP($A108,NPV!$B$3:$C$44,2,0)</f>
        <v>21401.604254268896</v>
      </c>
      <c r="AH108" s="86">
        <f t="shared" si="32"/>
        <v>29632.623188331687</v>
      </c>
      <c r="AI108" s="86">
        <f t="shared" si="33"/>
        <v>22513.453049734053</v>
      </c>
      <c r="AK108" s="16">
        <f t="shared" si="21"/>
        <v>3079802.1209327551</v>
      </c>
      <c r="AL108" s="16">
        <f t="shared" si="34"/>
        <v>2356953.62391053</v>
      </c>
    </row>
    <row r="109" spans="1:38" x14ac:dyDescent="0.25">
      <c r="A109" s="5">
        <f t="shared" si="22"/>
        <v>2032</v>
      </c>
      <c r="B109" s="85">
        <f>'Barge - Liquid'!$B$9*12</f>
        <v>259.66954545454547</v>
      </c>
      <c r="C109" s="10">
        <f>B109*'Inputs &amp; Parameters'!$C$20/60</f>
        <v>4674.0518181818188</v>
      </c>
      <c r="D109" s="10">
        <f>B109*'Inputs &amp; Parameters'!$B$20</f>
        <v>34065.750865891372</v>
      </c>
      <c r="F109" s="86">
        <f>(($B$10/$B$21)*'Inputs &amp; Parameters'!$B$7 + ('Barge - Liquid'!$B$72/'Barge - Liquid'!$B$71)*'Barge - Liquid'!$B$73)</f>
        <v>1713925.3452709387</v>
      </c>
      <c r="G109" s="86">
        <f>(($B$10/$B$21)*'Inputs &amp; Parameters'!$B$7 + ('Barge - Liquid'!$B$72/'Barge - Liquid'!$B$71)*'Barge - Liquid'!$B$73)*VLOOKUP(A109,NPV!$B$4:$D$44,2,0)</f>
        <v>1263005.5188915785</v>
      </c>
      <c r="H109" s="86">
        <f t="shared" si="23"/>
        <v>1032965.451818182</v>
      </c>
      <c r="I109" s="86">
        <f>SUM(($B$5-1)*C109*$B$7,1*C109*$B$6)*VLOOKUP(A109,NPV!$B$4:$D$44,2,0)</f>
        <v>761200.63809690508</v>
      </c>
      <c r="J109" s="86">
        <f t="shared" si="24"/>
        <v>77000</v>
      </c>
      <c r="K109" s="86">
        <f>J109*VLOOKUP(A109,NPV!$B$4:$D$44,2,0)</f>
        <v>56741.925908842873</v>
      </c>
      <c r="L109" s="86">
        <f>(B109*($B$12*$B$8))*($B$13/365)*('Barge - Liquid'!$B$69/24)</f>
        <v>4638.7413888022438</v>
      </c>
      <c r="M109" s="86">
        <f>(B109*($B$12*$B$8))*($B$13/365)*('Barge - Liquid'!$B$69/24)*VLOOKUP(A109,NPV!$B$4:$D$44,2,0)</f>
        <v>3418.3262362818159</v>
      </c>
      <c r="N109" s="86">
        <v>0</v>
      </c>
      <c r="O109" s="86">
        <v>0</v>
      </c>
      <c r="P109" s="86">
        <f t="shared" si="25"/>
        <v>2828529.5384779233</v>
      </c>
      <c r="Q109" s="86">
        <f t="shared" si="26"/>
        <v>2084366.4091336082</v>
      </c>
      <c r="R109" s="8"/>
      <c r="S109" s="86">
        <f t="shared" si="27"/>
        <v>224481.49720581426</v>
      </c>
      <c r="T109" s="86">
        <f>$D109*HLOOKUP($A109,$A$31:$AA$36,2,FALSE)*HLOOKUP($A109,$A$37:$AA$42,2,FALSE)*VLOOKUP($A109,NPV!$B$3:$D$44,3,0)</f>
        <v>184153.01458621916</v>
      </c>
      <c r="U109" s="86">
        <f>$D109*HLOOKUP($A109,$A$31:$AA$36,3,FALSE)*HLOOKUP($A109,$A$37:$AA$42,3,FALSE)*VLOOKUP($A109,NPV!$B$3:$C$44,2,0)</f>
        <v>0</v>
      </c>
      <c r="V109" s="86">
        <f>$D109*HLOOKUP($A109,$A$31:$AA$36,3,FALSE)*HLOOKUP($A109,$A$37:$AA$42,3,FALSE)*VLOOKUP($A109,NPV!$B$3:$C$44,2,0)*VLOOKUP($A109,NPV!$B$3:$C$44,2,0)</f>
        <v>0</v>
      </c>
      <c r="W109" s="86">
        <f t="shared" si="28"/>
        <v>0</v>
      </c>
      <c r="X109" s="86">
        <f>$D109*HLOOKUP($A109,$A$31:$AA$36,4,FALSE)*HLOOKUP($A109,$A$37:$AA$42,4,FALSE)*VLOOKUP($A109,NPV!$B$3:$C$44,2,0)</f>
        <v>0</v>
      </c>
      <c r="Y109" s="86">
        <f t="shared" si="29"/>
        <v>0</v>
      </c>
      <c r="Z109" s="86">
        <f>$D109*HLOOKUP($A109,$A$31:$AA$36,5,FALSE)*HLOOKUP($A109,$A$37:$AA$42,5,FALSE)*VLOOKUP($A109,NPV!$B$3:$C$44,2,0)</f>
        <v>0</v>
      </c>
      <c r="AA109" s="86">
        <f t="shared" si="30"/>
        <v>224481.49720581426</v>
      </c>
      <c r="AB109" s="86">
        <f t="shared" si="31"/>
        <v>184153.01458621916</v>
      </c>
      <c r="AD109" s="86">
        <f>$B$11*$F$55*'Inputs &amp; Parameters'!$B$45</f>
        <v>1463.4359431952466</v>
      </c>
      <c r="AE109" s="86">
        <f>$B$11*$F$55*'Inputs &amp; Parameters'!$B$45*VLOOKUP($A109,NPV!$B$3:$C$44,2,0)</f>
        <v>1078.4178423522374</v>
      </c>
      <c r="AF109" s="86">
        <f>$B$11*$E$55*'Inputs &amp; Parameters'!$B$44</f>
        <v>28169.18724513644</v>
      </c>
      <c r="AG109" s="86">
        <f>$B$11*$E$55*'Inputs &amp; Parameters'!$B$44*VLOOKUP($A109,NPV!$B$3:$C$44,2,0)</f>
        <v>20758.10305942667</v>
      </c>
      <c r="AH109" s="86">
        <f t="shared" si="32"/>
        <v>29632.623188331687</v>
      </c>
      <c r="AI109" s="86">
        <f t="shared" si="33"/>
        <v>21836.520901778909</v>
      </c>
      <c r="AK109" s="16">
        <f t="shared" si="21"/>
        <v>3082643.6588720693</v>
      </c>
      <c r="AL109" s="16">
        <f t="shared" si="34"/>
        <v>2290355.9446216063</v>
      </c>
    </row>
    <row r="110" spans="1:38" x14ac:dyDescent="0.25">
      <c r="A110" s="5">
        <f t="shared" si="22"/>
        <v>2033</v>
      </c>
      <c r="B110" s="85">
        <f>'Barge - Liquid'!$B$9*12</f>
        <v>259.66954545454547</v>
      </c>
      <c r="C110" s="10">
        <f>B110*'Inputs &amp; Parameters'!$C$20/60</f>
        <v>4674.0518181818188</v>
      </c>
      <c r="D110" s="10">
        <f>B110*'Inputs &amp; Parameters'!$B$20</f>
        <v>34065.750865891372</v>
      </c>
      <c r="F110" s="86">
        <f>(($B$10/$B$21)*'Inputs &amp; Parameters'!$B$7 + ('Barge - Liquid'!$B$72/'Barge - Liquid'!$B$71)*'Barge - Liquid'!$B$73)</f>
        <v>1713925.3452709387</v>
      </c>
      <c r="G110" s="86">
        <f>(($B$10/$B$21)*'Inputs &amp; Parameters'!$B$7 + ('Barge - Liquid'!$B$72/'Barge - Liquid'!$B$71)*'Barge - Liquid'!$B$73)*VLOOKUP(A110,NPV!$B$4:$D$44,2,0)</f>
        <v>1225029.6012527435</v>
      </c>
      <c r="H110" s="86">
        <f t="shared" si="23"/>
        <v>1032965.451818182</v>
      </c>
      <c r="I110" s="86">
        <f>SUM(($B$5-1)*C110*$B$7,1*C110*$B$6)*VLOOKUP(A110,NPV!$B$4:$D$44,2,0)</f>
        <v>738312.93704840459</v>
      </c>
      <c r="J110" s="86">
        <f t="shared" si="24"/>
        <v>77000</v>
      </c>
      <c r="K110" s="86">
        <f>J110*VLOOKUP(A110,NPV!$B$4:$D$44,2,0)</f>
        <v>55035.815624483883</v>
      </c>
      <c r="L110" s="86">
        <f>(B110*($B$12*$B$8))*($B$13/365)*('Barge - Liquid'!$B$69/24)</f>
        <v>4638.7413888022438</v>
      </c>
      <c r="M110" s="86">
        <f>(B110*($B$12*$B$8))*($B$13/365)*('Barge - Liquid'!$B$69/24)*VLOOKUP(A110,NPV!$B$4:$D$44,2,0)</f>
        <v>3315.5443610880857</v>
      </c>
      <c r="N110" s="86">
        <v>0</v>
      </c>
      <c r="O110" s="86">
        <v>0</v>
      </c>
      <c r="P110" s="86">
        <f t="shared" si="25"/>
        <v>2828529.5384779233</v>
      </c>
      <c r="Q110" s="86">
        <f t="shared" si="26"/>
        <v>2021693.89828672</v>
      </c>
      <c r="R110" s="8"/>
      <c r="S110" s="86">
        <f t="shared" si="27"/>
        <v>228270.21445823307</v>
      </c>
      <c r="T110" s="86">
        <f>$D110*HLOOKUP($A110,$A$31:$AA$36,2,FALSE)*HLOOKUP($A110,$A$37:$AA$42,2,FALSE)*VLOOKUP($A110,NPV!$B$3:$D$44,3,0)</f>
        <v>183589.29641465552</v>
      </c>
      <c r="U110" s="86">
        <f>$D110*HLOOKUP($A110,$A$31:$AA$36,3,FALSE)*HLOOKUP($A110,$A$37:$AA$42,3,FALSE)*VLOOKUP($A110,NPV!$B$3:$C$44,2,0)</f>
        <v>0</v>
      </c>
      <c r="V110" s="86">
        <f>$D110*HLOOKUP($A110,$A$31:$AA$36,3,FALSE)*HLOOKUP($A110,$A$37:$AA$42,3,FALSE)*VLOOKUP($A110,NPV!$B$3:$C$44,2,0)*VLOOKUP($A110,NPV!$B$3:$C$44,2,0)</f>
        <v>0</v>
      </c>
      <c r="W110" s="86">
        <f t="shared" si="28"/>
        <v>0</v>
      </c>
      <c r="X110" s="86">
        <f>$D110*HLOOKUP($A110,$A$31:$AA$36,4,FALSE)*HLOOKUP($A110,$A$37:$AA$42,4,FALSE)*VLOOKUP($A110,NPV!$B$3:$C$44,2,0)</f>
        <v>0</v>
      </c>
      <c r="Y110" s="86">
        <f t="shared" si="29"/>
        <v>0</v>
      </c>
      <c r="Z110" s="86">
        <f>$D110*HLOOKUP($A110,$A$31:$AA$36,5,FALSE)*HLOOKUP($A110,$A$37:$AA$42,5,FALSE)*VLOOKUP($A110,NPV!$B$3:$C$44,2,0)</f>
        <v>0</v>
      </c>
      <c r="AA110" s="86">
        <f t="shared" si="30"/>
        <v>228270.21445823307</v>
      </c>
      <c r="AB110" s="86">
        <f t="shared" si="31"/>
        <v>183589.29641465552</v>
      </c>
      <c r="AD110" s="86">
        <f>$B$11*$F$55*'Inputs &amp; Parameters'!$B$45</f>
        <v>1463.4359431952466</v>
      </c>
      <c r="AE110" s="86">
        <f>$B$11*$F$55*'Inputs &amp; Parameters'!$B$45*VLOOKUP($A110,NPV!$B$3:$C$44,2,0)</f>
        <v>1045.9920876355359</v>
      </c>
      <c r="AF110" s="86">
        <f>$B$11*$E$55*'Inputs &amp; Parameters'!$B$44</f>
        <v>28169.18724513644</v>
      </c>
      <c r="AG110" s="86">
        <f>$B$11*$E$55*'Inputs &amp; Parameters'!$B$44*VLOOKUP($A110,NPV!$B$3:$C$44,2,0)</f>
        <v>20133.950591102493</v>
      </c>
      <c r="AH110" s="86">
        <f t="shared" si="32"/>
        <v>29632.623188331687</v>
      </c>
      <c r="AI110" s="86">
        <f t="shared" si="33"/>
        <v>21179.942678738029</v>
      </c>
      <c r="AK110" s="16">
        <f t="shared" si="21"/>
        <v>3086432.3761244882</v>
      </c>
      <c r="AL110" s="16">
        <f t="shared" si="34"/>
        <v>2226463.1373801134</v>
      </c>
    </row>
    <row r="111" spans="1:38" x14ac:dyDescent="0.25">
      <c r="A111" s="5">
        <f t="shared" si="22"/>
        <v>2034</v>
      </c>
      <c r="B111" s="85">
        <f>'Barge - Liquid'!$B$9*12</f>
        <v>259.66954545454547</v>
      </c>
      <c r="C111" s="10">
        <f>B111*'Inputs &amp; Parameters'!$C$20/60</f>
        <v>4674.0518181818188</v>
      </c>
      <c r="D111" s="10">
        <f>B111*'Inputs &amp; Parameters'!$B$20</f>
        <v>34065.750865891372</v>
      </c>
      <c r="F111" s="86">
        <f>(($B$10/$B$21)*'Inputs &amp; Parameters'!$B$7 + ('Barge - Liquid'!$B$72/'Barge - Liquid'!$B$71)*'Barge - Liquid'!$B$73)</f>
        <v>1713925.3452709387</v>
      </c>
      <c r="G111" s="86">
        <f>(($B$10/$B$21)*'Inputs &amp; Parameters'!$B$7 + ('Barge - Liquid'!$B$72/'Barge - Liquid'!$B$71)*'Barge - Liquid'!$B$73)*VLOOKUP(A111,NPV!$B$4:$D$44,2,0)</f>
        <v>1188195.5395273943</v>
      </c>
      <c r="H111" s="86">
        <f t="shared" si="23"/>
        <v>1032965.451818182</v>
      </c>
      <c r="I111" s="86">
        <f>SUM(($B$5-1)*C111*$B$7,1*C111*$B$6)*VLOOKUP(A111,NPV!$B$4:$D$44,2,0)</f>
        <v>716113.42099748261</v>
      </c>
      <c r="J111" s="86">
        <f t="shared" si="24"/>
        <v>77000</v>
      </c>
      <c r="K111" s="86">
        <f>J111*VLOOKUP(A111,NPV!$B$4:$D$44,2,0)</f>
        <v>53381.004485435384</v>
      </c>
      <c r="L111" s="86">
        <f>(B111*($B$12*$B$8))*($B$13/365)*('Barge - Liquid'!$B$69/24)</f>
        <v>4638.7413888022438</v>
      </c>
      <c r="M111" s="86">
        <f>(B111*($B$12*$B$8))*($B$13/365)*('Barge - Liquid'!$B$69/24)*VLOOKUP(A111,NPV!$B$4:$D$44,2,0)</f>
        <v>3215.8529205510044</v>
      </c>
      <c r="N111" s="86">
        <v>0</v>
      </c>
      <c r="O111" s="86">
        <v>0</v>
      </c>
      <c r="P111" s="86">
        <f t="shared" si="25"/>
        <v>2828529.5384779233</v>
      </c>
      <c r="Q111" s="86">
        <f>SUM(G111,I111,K111,M111)</f>
        <v>1960905.8179308635</v>
      </c>
      <c r="R111" s="8"/>
      <c r="S111" s="86">
        <f t="shared" si="27"/>
        <v>232058.93171065184</v>
      </c>
      <c r="T111" s="86">
        <f>$D111*HLOOKUP($A111,$A$31:$AA$36,2,FALSE)*HLOOKUP($A111,$A$37:$AA$42,2,FALSE)*VLOOKUP($A111,NPV!$B$3:$D$44,3,0)</f>
        <v>182976.88398661863</v>
      </c>
      <c r="U111" s="86">
        <f>$D111*HLOOKUP($A111,$A$31:$AA$36,3,FALSE)*HLOOKUP($A111,$A$37:$AA$42,3,FALSE)*VLOOKUP($A111,NPV!$B$3:$C$44,2,0)</f>
        <v>0</v>
      </c>
      <c r="V111" s="86">
        <f>$D111*HLOOKUP($A111,$A$31:$AA$36,3,FALSE)*HLOOKUP($A111,$A$37:$AA$42,3,FALSE)*VLOOKUP($A111,NPV!$B$3:$C$44,2,0)*VLOOKUP($A111,NPV!$B$3:$C$44,2,0)</f>
        <v>0</v>
      </c>
      <c r="W111" s="86">
        <f t="shared" si="28"/>
        <v>0</v>
      </c>
      <c r="X111" s="86">
        <f>$D111*HLOOKUP($A111,$A$31:$AA$36,4,FALSE)*HLOOKUP($A111,$A$37:$AA$42,4,FALSE)*VLOOKUP($A111,NPV!$B$3:$C$44,2,0)</f>
        <v>0</v>
      </c>
      <c r="Y111" s="86">
        <f t="shared" si="29"/>
        <v>0</v>
      </c>
      <c r="Z111" s="86">
        <f>$D111*HLOOKUP($A111,$A$31:$AA$36,5,FALSE)*HLOOKUP($A111,$A$37:$AA$42,5,FALSE)*VLOOKUP($A111,NPV!$B$3:$C$44,2,0)</f>
        <v>0</v>
      </c>
      <c r="AA111" s="86">
        <f t="shared" si="30"/>
        <v>232058.93171065184</v>
      </c>
      <c r="AB111" s="86">
        <f t="shared" si="31"/>
        <v>182976.88398661863</v>
      </c>
      <c r="AD111" s="86">
        <f>$B$11*$F$55*'Inputs &amp; Parameters'!$B$45</f>
        <v>1463.4359431952466</v>
      </c>
      <c r="AE111" s="86">
        <f>$B$11*$F$55*'Inputs &amp; Parameters'!$B$45*VLOOKUP($A111,NPV!$B$3:$C$44,2,0)</f>
        <v>1014.5413071149717</v>
      </c>
      <c r="AF111" s="86">
        <f>$B$11*$E$55*'Inputs &amp; Parameters'!$B$44</f>
        <v>28169.18724513644</v>
      </c>
      <c r="AG111" s="86">
        <f>$B$11*$E$55*'Inputs &amp; Parameters'!$B$44*VLOOKUP($A111,NPV!$B$3:$C$44,2,0)</f>
        <v>19528.56507381425</v>
      </c>
      <c r="AH111" s="86">
        <f t="shared" si="32"/>
        <v>29632.623188331687</v>
      </c>
      <c r="AI111" s="86">
        <f t="shared" si="33"/>
        <v>20543.106380929221</v>
      </c>
      <c r="AK111" s="16">
        <f t="shared" si="21"/>
        <v>3090221.0933769066</v>
      </c>
      <c r="AL111" s="16">
        <f t="shared" si="34"/>
        <v>2164425.8082984113</v>
      </c>
    </row>
    <row r="112" spans="1:38" x14ac:dyDescent="0.25">
      <c r="A112" s="5">
        <f t="shared" si="22"/>
        <v>2035</v>
      </c>
      <c r="B112" s="85">
        <f>'Barge - Liquid'!$B$9*12</f>
        <v>259.66954545454547</v>
      </c>
      <c r="C112" s="10">
        <f>B112*'Inputs &amp; Parameters'!$C$20/60</f>
        <v>4674.0518181818188</v>
      </c>
      <c r="D112" s="10">
        <f>B112*'Inputs &amp; Parameters'!$B$20</f>
        <v>34065.750865891372</v>
      </c>
      <c r="F112" s="86">
        <f>(($B$10/$B$21)*'Inputs &amp; Parameters'!$B$7 + ('Barge - Liquid'!$B$72/'Barge - Liquid'!$B$71)*'Barge - Liquid'!$B$73)</f>
        <v>1713925.3452709387</v>
      </c>
      <c r="G112" s="86">
        <f>(($B$10/$B$21)*'Inputs &amp; Parameters'!$B$7 + ('Barge - Liquid'!$B$72/'Barge - Liquid'!$B$71)*'Barge - Liquid'!$B$73)*VLOOKUP(A112,NPV!$B$4:$D$44,2,0)</f>
        <v>1152469.0005115368</v>
      </c>
      <c r="H112" s="86">
        <f t="shared" si="23"/>
        <v>1032965.451818182</v>
      </c>
      <c r="I112" s="86">
        <f>SUM(($B$5-1)*C112*$B$7,1*C112*$B$6)*VLOOKUP(A112,NPV!$B$4:$D$44,2,0)</f>
        <v>694581.39766972128</v>
      </c>
      <c r="J112" s="86">
        <f t="shared" si="24"/>
        <v>77000</v>
      </c>
      <c r="K112" s="86">
        <f>J112*VLOOKUP(A112,NPV!$B$4:$D$44,2,0)</f>
        <v>51775.950034369918</v>
      </c>
      <c r="L112" s="86">
        <f>(B112*($B$12*$B$8))*($B$13/365)*('Barge - Liquid'!$B$69/24)</f>
        <v>4638.7413888022438</v>
      </c>
      <c r="M112" s="86">
        <f>(B112*($B$12*$B$8))*($B$13/365)*('Barge - Liquid'!$B$69/24)*VLOOKUP(A112,NPV!$B$4:$D$44,2,0)</f>
        <v>3119.1589918050477</v>
      </c>
      <c r="N112" s="86">
        <v>0</v>
      </c>
      <c r="O112" s="86">
        <v>0</v>
      </c>
      <c r="P112" s="86">
        <f t="shared" si="25"/>
        <v>2828529.5384779233</v>
      </c>
      <c r="Q112" s="86">
        <f t="shared" si="26"/>
        <v>1901945.5072074332</v>
      </c>
      <c r="R112" s="8"/>
      <c r="S112" s="86">
        <f t="shared" si="27"/>
        <v>234900.46964996596</v>
      </c>
      <c r="T112" s="86">
        <f>$D112*HLOOKUP($A112,$A$31:$AA$36,2,FALSE)*HLOOKUP($A112,$A$37:$AA$42,2,FALSE)*VLOOKUP($A112,NPV!$B$3:$D$44,3,0)</f>
        <v>181585.70319600409</v>
      </c>
      <c r="U112" s="86">
        <f>$D112*HLOOKUP($A112,$A$31:$AA$36,3,FALSE)*HLOOKUP($A112,$A$37:$AA$42,3,FALSE)*VLOOKUP($A112,NPV!$B$3:$C$44,2,0)</f>
        <v>0</v>
      </c>
      <c r="V112" s="86">
        <f>$D112*HLOOKUP($A112,$A$31:$AA$36,3,FALSE)*HLOOKUP($A112,$A$37:$AA$42,3,FALSE)*VLOOKUP($A112,NPV!$B$3:$C$44,2,0)*VLOOKUP($A112,NPV!$B$3:$C$44,2,0)</f>
        <v>0</v>
      </c>
      <c r="W112" s="86">
        <f t="shared" si="28"/>
        <v>0</v>
      </c>
      <c r="X112" s="86">
        <f>$D112*HLOOKUP($A112,$A$31:$AA$36,4,FALSE)*HLOOKUP($A112,$A$37:$AA$42,4,FALSE)*VLOOKUP($A112,NPV!$B$3:$C$44,2,0)</f>
        <v>0</v>
      </c>
      <c r="Y112" s="86">
        <f t="shared" si="29"/>
        <v>0</v>
      </c>
      <c r="Z112" s="86">
        <f>$D112*HLOOKUP($A112,$A$31:$AA$36,5,FALSE)*HLOOKUP($A112,$A$37:$AA$42,5,FALSE)*VLOOKUP($A112,NPV!$B$3:$C$44,2,0)</f>
        <v>0</v>
      </c>
      <c r="AA112" s="86">
        <f t="shared" si="30"/>
        <v>234900.46964996596</v>
      </c>
      <c r="AB112" s="86">
        <f t="shared" si="31"/>
        <v>181585.70319600409</v>
      </c>
      <c r="AD112" s="86">
        <f>$B$11*$F$55*'Inputs &amp; Parameters'!$B$45</f>
        <v>1463.4359431952466</v>
      </c>
      <c r="AE112" s="86">
        <f>$B$11*$F$55*'Inputs &amp; Parameters'!$B$45*VLOOKUP($A112,NPV!$B$3:$C$44,2,0)</f>
        <v>984.03618536854674</v>
      </c>
      <c r="AF112" s="86">
        <f>$B$11*$E$55*'Inputs &amp; Parameters'!$B$44</f>
        <v>28169.18724513644</v>
      </c>
      <c r="AG112" s="86">
        <f>$B$11*$E$55*'Inputs &amp; Parameters'!$B$44*VLOOKUP($A112,NPV!$B$3:$C$44,2,0)</f>
        <v>18941.382224844085</v>
      </c>
      <c r="AH112" s="86">
        <f t="shared" si="32"/>
        <v>29632.623188331687</v>
      </c>
      <c r="AI112" s="86">
        <f t="shared" si="33"/>
        <v>19925.418410212631</v>
      </c>
      <c r="AK112" s="16">
        <f t="shared" si="21"/>
        <v>3093062.6313162209</v>
      </c>
      <c r="AL112" s="16">
        <f t="shared" si="34"/>
        <v>2103456.62881365</v>
      </c>
    </row>
    <row r="113" spans="1:38" x14ac:dyDescent="0.25">
      <c r="A113" s="5">
        <f t="shared" si="22"/>
        <v>2036</v>
      </c>
      <c r="B113" s="85">
        <f>'Barge - Liquid'!$B$9*12</f>
        <v>259.66954545454547</v>
      </c>
      <c r="C113" s="10">
        <f>B113*'Inputs &amp; Parameters'!$C$20/60</f>
        <v>4674.0518181818188</v>
      </c>
      <c r="D113" s="10">
        <f>B113*'Inputs &amp; Parameters'!$B$20</f>
        <v>34065.750865891372</v>
      </c>
      <c r="F113" s="86">
        <f>(($B$10/$B$21)*'Inputs &amp; Parameters'!$B$7 + ('Barge - Liquid'!$B$72/'Barge - Liquid'!$B$71)*'Barge - Liquid'!$B$73)</f>
        <v>1713925.3452709387</v>
      </c>
      <c r="G113" s="86">
        <f>(($B$10/$B$21)*'Inputs &amp; Parameters'!$B$7 + ('Barge - Liquid'!$B$72/'Barge - Liquid'!$B$71)*'Barge - Liquid'!$B$73)*VLOOKUP(A113,NPV!$B$4:$D$44,2,0)</f>
        <v>1117816.6833283578</v>
      </c>
      <c r="H113" s="86">
        <f t="shared" si="23"/>
        <v>1032965.451818182</v>
      </c>
      <c r="I113" s="86">
        <f>SUM(($B$5-1)*C113*$B$7,1*C113*$B$6)*VLOOKUP(A113,NPV!$B$4:$D$44,2,0)</f>
        <v>673696.79696384224</v>
      </c>
      <c r="J113" s="86">
        <f t="shared" si="24"/>
        <v>77000</v>
      </c>
      <c r="K113" s="86">
        <f>J113*VLOOKUP(A113,NPV!$B$4:$D$44,2,0)</f>
        <v>50219.15619240536</v>
      </c>
      <c r="L113" s="86">
        <f>(B113*($B$12*$B$8))*($B$13/365)*('Barge - Liquid'!$B$69/24)</f>
        <v>4638.7413888022438</v>
      </c>
      <c r="M113" s="86">
        <f>(B113*($B$12*$B$8))*($B$13/365)*('Barge - Liquid'!$B$69/24)*VLOOKUP(A113,NPV!$B$4:$D$44,2,0)</f>
        <v>3025.3724459796786</v>
      </c>
      <c r="N113" s="86">
        <v>0</v>
      </c>
      <c r="O113" s="86">
        <v>0</v>
      </c>
      <c r="P113" s="86">
        <f t="shared" si="25"/>
        <v>2828529.5384779233</v>
      </c>
      <c r="Q113" s="86">
        <f t="shared" si="26"/>
        <v>1844758.0089305851</v>
      </c>
      <c r="R113" s="8"/>
      <c r="S113" s="86">
        <f t="shared" si="27"/>
        <v>238689.18690238474</v>
      </c>
      <c r="T113" s="86">
        <f>$D113*HLOOKUP($A113,$A$31:$AA$36,2,FALSE)*HLOOKUP($A113,$A$37:$AA$42,2,FALSE)*VLOOKUP($A113,NPV!$B$3:$D$44,3,0)</f>
        <v>180896.57339260366</v>
      </c>
      <c r="U113" s="86">
        <f>$D113*HLOOKUP($A113,$A$31:$AA$36,3,FALSE)*HLOOKUP($A113,$A$37:$AA$42,3,FALSE)*VLOOKUP($A113,NPV!$B$3:$C$44,2,0)</f>
        <v>0</v>
      </c>
      <c r="V113" s="86">
        <f>$D113*HLOOKUP($A113,$A$31:$AA$36,3,FALSE)*HLOOKUP($A113,$A$37:$AA$42,3,FALSE)*VLOOKUP($A113,NPV!$B$3:$C$44,2,0)*VLOOKUP($A113,NPV!$B$3:$C$44,2,0)</f>
        <v>0</v>
      </c>
      <c r="W113" s="86">
        <f t="shared" si="28"/>
        <v>0</v>
      </c>
      <c r="X113" s="86">
        <f>$D113*HLOOKUP($A113,$A$31:$AA$36,4,FALSE)*HLOOKUP($A113,$A$37:$AA$42,4,FALSE)*VLOOKUP($A113,NPV!$B$3:$C$44,2,0)</f>
        <v>0</v>
      </c>
      <c r="Y113" s="86">
        <f t="shared" si="29"/>
        <v>0</v>
      </c>
      <c r="Z113" s="86">
        <f>$D113*HLOOKUP($A113,$A$31:$AA$36,5,FALSE)*HLOOKUP($A113,$A$37:$AA$42,5,FALSE)*VLOOKUP($A113,NPV!$B$3:$C$44,2,0)</f>
        <v>0</v>
      </c>
      <c r="AA113" s="86">
        <f t="shared" si="30"/>
        <v>238689.18690238474</v>
      </c>
      <c r="AB113" s="86">
        <f t="shared" si="31"/>
        <v>180896.57339260366</v>
      </c>
      <c r="AD113" s="86">
        <f>$B$11*$F$55*'Inputs &amp; Parameters'!$B$45</f>
        <v>1463.4359431952466</v>
      </c>
      <c r="AE113" s="86">
        <f>$B$11*$F$55*'Inputs &amp; Parameters'!$B$45*VLOOKUP($A113,NPV!$B$3:$C$44,2,0)</f>
        <v>954.44828842730055</v>
      </c>
      <c r="AF113" s="86">
        <f>$B$11*$E$55*'Inputs &amp; Parameters'!$B$44</f>
        <v>28169.18724513644</v>
      </c>
      <c r="AG113" s="86">
        <f>$B$11*$E$55*'Inputs &amp; Parameters'!$B$44*VLOOKUP($A113,NPV!$B$3:$C$44,2,0)</f>
        <v>18371.854728267786</v>
      </c>
      <c r="AH113" s="86">
        <f t="shared" si="32"/>
        <v>29632.623188331687</v>
      </c>
      <c r="AI113" s="86">
        <f t="shared" si="33"/>
        <v>19326.303016695088</v>
      </c>
      <c r="AK113" s="16">
        <f t="shared" si="21"/>
        <v>3096851.3485686397</v>
      </c>
      <c r="AL113" s="16">
        <f t="shared" si="34"/>
        <v>2044980.8853398841</v>
      </c>
    </row>
    <row r="114" spans="1:38" x14ac:dyDescent="0.25">
      <c r="A114" s="5">
        <f t="shared" si="22"/>
        <v>2037</v>
      </c>
      <c r="B114" s="85">
        <f>'Barge - Liquid'!$B$9*12</f>
        <v>259.66954545454547</v>
      </c>
      <c r="C114" s="10">
        <f>B114*'Inputs &amp; Parameters'!$C$20/60</f>
        <v>4674.0518181818188</v>
      </c>
      <c r="D114" s="10">
        <f>B114*'Inputs &amp; Parameters'!$B$20</f>
        <v>34065.750865891372</v>
      </c>
      <c r="F114" s="86">
        <f>(($B$10/$B$21)*'Inputs &amp; Parameters'!$B$7 + ('Barge - Liquid'!$B$72/'Barge - Liquid'!$B$71)*'Barge - Liquid'!$B$73)</f>
        <v>1713925.3452709387</v>
      </c>
      <c r="G114" s="86">
        <f>(($B$10/$B$21)*'Inputs &amp; Parameters'!$B$7 + ('Barge - Liquid'!$B$72/'Barge - Liquid'!$B$71)*'Barge - Liquid'!$B$73)*VLOOKUP(A114,NPV!$B$4:$D$44,2,0)</f>
        <v>1084206.28838832</v>
      </c>
      <c r="H114" s="86">
        <f t="shared" si="23"/>
        <v>1032965.451818182</v>
      </c>
      <c r="I114" s="86">
        <f>SUM(($B$5-1)*C114*$B$7,1*C114*$B$6)*VLOOKUP(A114,NPV!$B$4:$D$44,2,0)</f>
        <v>653440.15224426996</v>
      </c>
      <c r="J114" s="86">
        <f t="shared" si="24"/>
        <v>77000</v>
      </c>
      <c r="K114" s="86">
        <f>J114*VLOOKUP(A114,NPV!$B$4:$D$44,2,0)</f>
        <v>48709.171864602678</v>
      </c>
      <c r="L114" s="86">
        <f>(B114*($B$12*$B$8))*($B$13/365)*('Barge - Liquid'!$B$69/24)</f>
        <v>4638.7413888022438</v>
      </c>
      <c r="M114" s="86">
        <f>(B114*($B$12*$B$8))*($B$13/365)*('Barge - Liquid'!$B$69/24)*VLOOKUP(A114,NPV!$B$4:$D$44,2,0)</f>
        <v>2934.405864189795</v>
      </c>
      <c r="N114" s="86">
        <v>0</v>
      </c>
      <c r="O114" s="86">
        <v>0</v>
      </c>
      <c r="P114" s="86">
        <f t="shared" si="25"/>
        <v>2828529.5384779233</v>
      </c>
      <c r="Q114" s="86">
        <f t="shared" si="26"/>
        <v>1789290.0183613827</v>
      </c>
      <c r="R114" s="8"/>
      <c r="S114" s="86">
        <f t="shared" si="27"/>
        <v>242477.90415480357</v>
      </c>
      <c r="T114" s="86">
        <f>$D114*HLOOKUP($A114,$A$31:$AA$36,2,FALSE)*HLOOKUP($A114,$A$37:$AA$42,2,FALSE)*VLOOKUP($A114,NPV!$B$3:$D$44,3,0)</f>
        <v>180164.65448376344</v>
      </c>
      <c r="U114" s="86">
        <f>$D114*HLOOKUP($A114,$A$31:$AA$36,3,FALSE)*HLOOKUP($A114,$A$37:$AA$42,3,FALSE)*VLOOKUP($A114,NPV!$B$3:$C$44,2,0)</f>
        <v>0</v>
      </c>
      <c r="V114" s="86">
        <f>$D114*HLOOKUP($A114,$A$31:$AA$36,3,FALSE)*HLOOKUP($A114,$A$37:$AA$42,3,FALSE)*VLOOKUP($A114,NPV!$B$3:$C$44,2,0)*VLOOKUP($A114,NPV!$B$3:$C$44,2,0)</f>
        <v>0</v>
      </c>
      <c r="W114" s="86">
        <f t="shared" si="28"/>
        <v>0</v>
      </c>
      <c r="X114" s="86">
        <f>$D114*HLOOKUP($A114,$A$31:$AA$36,4,FALSE)*HLOOKUP($A114,$A$37:$AA$42,4,FALSE)*VLOOKUP($A114,NPV!$B$3:$C$44,2,0)</f>
        <v>0</v>
      </c>
      <c r="Y114" s="86">
        <f t="shared" si="29"/>
        <v>0</v>
      </c>
      <c r="Z114" s="86">
        <f>$D114*HLOOKUP($A114,$A$31:$AA$36,5,FALSE)*HLOOKUP($A114,$A$37:$AA$42,5,FALSE)*VLOOKUP($A114,NPV!$B$3:$C$44,2,0)</f>
        <v>0</v>
      </c>
      <c r="AA114" s="86">
        <f t="shared" si="30"/>
        <v>242477.90415480357</v>
      </c>
      <c r="AB114" s="86">
        <f t="shared" si="31"/>
        <v>180164.65448376344</v>
      </c>
      <c r="AD114" s="86">
        <f>$B$11*$F$55*'Inputs &amp; Parameters'!$B$45</f>
        <v>1463.4359431952466</v>
      </c>
      <c r="AE114" s="86">
        <f>$B$11*$F$55*'Inputs &amp; Parameters'!$B$45*VLOOKUP($A114,NPV!$B$3:$C$44,2,0)</f>
        <v>925.75003727187266</v>
      </c>
      <c r="AF114" s="86">
        <f>$B$11*$E$55*'Inputs &amp; Parameters'!$B$44</f>
        <v>28169.18724513644</v>
      </c>
      <c r="AG114" s="86">
        <f>$B$11*$E$55*'Inputs &amp; Parameters'!$B$44*VLOOKUP($A114,NPV!$B$3:$C$44,2,0)</f>
        <v>17819.451724799019</v>
      </c>
      <c r="AH114" s="86">
        <f t="shared" si="32"/>
        <v>29632.623188331687</v>
      </c>
      <c r="AI114" s="86">
        <f t="shared" si="33"/>
        <v>18745.20176207089</v>
      </c>
      <c r="AK114" s="16">
        <f t="shared" si="21"/>
        <v>3100640.0658210586</v>
      </c>
      <c r="AL114" s="16">
        <f t="shared" si="34"/>
        <v>1988199.874607217</v>
      </c>
    </row>
    <row r="115" spans="1:38" x14ac:dyDescent="0.25">
      <c r="A115" s="5">
        <f t="shared" si="22"/>
        <v>2038</v>
      </c>
      <c r="B115" s="85">
        <f>'Barge - Liquid'!$B$9*12</f>
        <v>259.66954545454547</v>
      </c>
      <c r="C115" s="10">
        <f>B115*'Inputs &amp; Parameters'!$C$20/60</f>
        <v>4674.0518181818188</v>
      </c>
      <c r="D115" s="10">
        <f>B115*'Inputs &amp; Parameters'!$B$20</f>
        <v>34065.750865891372</v>
      </c>
      <c r="F115" s="86">
        <f>(($B$10/$B$21)*'Inputs &amp; Parameters'!$B$7 + ('Barge - Liquid'!$B$72/'Barge - Liquid'!$B$71)*'Barge - Liquid'!$B$73)</f>
        <v>1713925.3452709387</v>
      </c>
      <c r="G115" s="86">
        <f>(($B$10/$B$21)*'Inputs &amp; Parameters'!$B$7 + ('Barge - Liquid'!$B$72/'Barge - Liquid'!$B$71)*'Barge - Liquid'!$B$73)*VLOOKUP(A115,NPV!$B$4:$D$44,2,0)</f>
        <v>1051606.4872825604</v>
      </c>
      <c r="H115" s="86">
        <f t="shared" si="23"/>
        <v>1032965.451818182</v>
      </c>
      <c r="I115" s="86">
        <f>SUM(($B$5-1)*C115*$B$7,1*C115*$B$6)*VLOOKUP(A115,NPV!$B$4:$D$44,2,0)</f>
        <v>633792.58219618804</v>
      </c>
      <c r="J115" s="86">
        <f t="shared" si="24"/>
        <v>77000</v>
      </c>
      <c r="K115" s="86">
        <f>J115*VLOOKUP(A115,NPV!$B$4:$D$44,2,0)</f>
        <v>47244.589587393471</v>
      </c>
      <c r="L115" s="86">
        <f>(B115*($B$12*$B$8))*($B$13/365)*('Barge - Liquid'!$B$69/24)</f>
        <v>4638.7413888022438</v>
      </c>
      <c r="M115" s="86">
        <f>(B115*($B$12*$B$8))*($B$13/365)*('Barge - Liquid'!$B$69/24)*VLOOKUP(A115,NPV!$B$4:$D$44,2,0)</f>
        <v>2846.174456052177</v>
      </c>
      <c r="N115" s="86">
        <v>0</v>
      </c>
      <c r="O115" s="86">
        <v>0</v>
      </c>
      <c r="P115" s="86">
        <f t="shared" si="25"/>
        <v>2828529.5384779233</v>
      </c>
      <c r="Q115" s="86">
        <f t="shared" si="26"/>
        <v>1735489.8335221941</v>
      </c>
      <c r="R115" s="8"/>
      <c r="S115" s="86">
        <f t="shared" si="27"/>
        <v>245319.44209411766</v>
      </c>
      <c r="T115" s="86">
        <f>$D115*HLOOKUP($A115,$A$31:$AA$36,2,FALSE)*HLOOKUP($A115,$A$37:$AA$42,2,FALSE)*VLOOKUP($A115,NPV!$B$3:$D$44,3,0)</f>
        <v>178701.92061617156</v>
      </c>
      <c r="U115" s="86">
        <f>$D115*HLOOKUP($A115,$A$31:$AA$36,3,FALSE)*HLOOKUP($A115,$A$37:$AA$42,3,FALSE)*VLOOKUP($A115,NPV!$B$3:$C$44,2,0)</f>
        <v>0</v>
      </c>
      <c r="V115" s="86">
        <f>$D115*HLOOKUP($A115,$A$31:$AA$36,3,FALSE)*HLOOKUP($A115,$A$37:$AA$42,3,FALSE)*VLOOKUP($A115,NPV!$B$3:$C$44,2,0)*VLOOKUP($A115,NPV!$B$3:$C$44,2,0)</f>
        <v>0</v>
      </c>
      <c r="W115" s="86">
        <f t="shared" si="28"/>
        <v>0</v>
      </c>
      <c r="X115" s="86">
        <f>$D115*HLOOKUP($A115,$A$31:$AA$36,4,FALSE)*HLOOKUP($A115,$A$37:$AA$42,4,FALSE)*VLOOKUP($A115,NPV!$B$3:$C$44,2,0)</f>
        <v>0</v>
      </c>
      <c r="Y115" s="86">
        <f t="shared" si="29"/>
        <v>0</v>
      </c>
      <c r="Z115" s="86">
        <f>$D115*HLOOKUP($A115,$A$31:$AA$36,5,FALSE)*HLOOKUP($A115,$A$37:$AA$42,5,FALSE)*VLOOKUP($A115,NPV!$B$3:$C$44,2,0)</f>
        <v>0</v>
      </c>
      <c r="AA115" s="86">
        <f t="shared" si="30"/>
        <v>245319.44209411766</v>
      </c>
      <c r="AB115" s="86">
        <f t="shared" si="31"/>
        <v>178701.92061617156</v>
      </c>
      <c r="AD115" s="86">
        <f>$B$11*$F$55*'Inputs &amp; Parameters'!$B$45</f>
        <v>1463.4359431952466</v>
      </c>
      <c r="AE115" s="86">
        <f>$B$11*$F$55*'Inputs &amp; Parameters'!$B$45*VLOOKUP($A115,NPV!$B$3:$C$44,2,0)</f>
        <v>897.91468212596749</v>
      </c>
      <c r="AF115" s="86">
        <f>$B$11*$E$55*'Inputs &amp; Parameters'!$B$44</f>
        <v>28169.18724513644</v>
      </c>
      <c r="AG115" s="86">
        <f>$B$11*$E$55*'Inputs &amp; Parameters'!$B$44*VLOOKUP($A115,NPV!$B$3:$C$44,2,0)</f>
        <v>17283.658316972858</v>
      </c>
      <c r="AH115" s="86">
        <f t="shared" si="32"/>
        <v>29632.623188331687</v>
      </c>
      <c r="AI115" s="86">
        <f t="shared" si="33"/>
        <v>18181.572999098826</v>
      </c>
      <c r="AK115" s="16">
        <f t="shared" si="21"/>
        <v>3103481.6037603728</v>
      </c>
      <c r="AL115" s="16">
        <f t="shared" si="34"/>
        <v>1932373.3271374644</v>
      </c>
    </row>
    <row r="116" spans="1:38" x14ac:dyDescent="0.25">
      <c r="A116" s="5">
        <f t="shared" si="22"/>
        <v>2039</v>
      </c>
      <c r="B116" s="85">
        <f>'Barge - Liquid'!$B$9*12</f>
        <v>259.66954545454547</v>
      </c>
      <c r="C116" s="10">
        <f>B116*'Inputs &amp; Parameters'!$C$20/60</f>
        <v>4674.0518181818188</v>
      </c>
      <c r="D116" s="10">
        <f>B116*'Inputs &amp; Parameters'!$B$20</f>
        <v>34065.750865891372</v>
      </c>
      <c r="F116" s="86">
        <f>(($B$10/$B$21)*'Inputs &amp; Parameters'!$B$7 + ('Barge - Liquid'!$B$72/'Barge - Liquid'!$B$71)*'Barge - Liquid'!$B$73)</f>
        <v>1713925.3452709387</v>
      </c>
      <c r="G116" s="86">
        <f>(($B$10/$B$21)*'Inputs &amp; Parameters'!$B$7 + ('Barge - Liquid'!$B$72/'Barge - Liquid'!$B$71)*'Barge - Liquid'!$B$73)*VLOOKUP(A116,NPV!$B$4:$D$44,2,0)</f>
        <v>1019986.893581533</v>
      </c>
      <c r="H116" s="86">
        <f t="shared" si="23"/>
        <v>1032965.451818182</v>
      </c>
      <c r="I116" s="86">
        <f>SUM(($B$5-1)*C116*$B$7,1*C116*$B$6)*VLOOKUP(A116,NPV!$B$4:$D$44,2,0)</f>
        <v>614735.7732261765</v>
      </c>
      <c r="J116" s="86">
        <f t="shared" si="24"/>
        <v>77000</v>
      </c>
      <c r="K116" s="86">
        <f>J116*VLOOKUP(A116,NPV!$B$4:$D$44,2,0)</f>
        <v>45824.044216676506</v>
      </c>
      <c r="L116" s="86">
        <f>(B116*($B$12*$B$8))*($B$13/365)*('Barge - Liquid'!$B$69/24)</f>
        <v>4638.7413888022438</v>
      </c>
      <c r="M116" s="86">
        <f>(B116*($B$12*$B$8))*($B$13/365)*('Barge - Liquid'!$B$69/24)*VLOOKUP(A116,NPV!$B$4:$D$44,2,0)</f>
        <v>2760.5959806519663</v>
      </c>
      <c r="N116" s="86">
        <v>0</v>
      </c>
      <c r="O116" s="86">
        <v>0</v>
      </c>
      <c r="P116" s="86">
        <f t="shared" si="25"/>
        <v>2828529.5384779233</v>
      </c>
      <c r="Q116" s="86">
        <f t="shared" si="26"/>
        <v>1683307.307005038</v>
      </c>
      <c r="R116" s="8"/>
      <c r="S116" s="86">
        <f t="shared" si="27"/>
        <v>249108.15934653647</v>
      </c>
      <c r="T116" s="86">
        <f>$D116*HLOOKUP($A116,$A$31:$AA$36,2,FALSE)*HLOOKUP($A116,$A$37:$AA$42,2,FALSE)*VLOOKUP($A116,NPV!$B$3:$D$44,3,0)</f>
        <v>177903.72140984601</v>
      </c>
      <c r="U116" s="86">
        <f>$D116*HLOOKUP($A116,$A$31:$AA$36,3,FALSE)*HLOOKUP($A116,$A$37:$AA$42,3,FALSE)*VLOOKUP($A116,NPV!$B$3:$C$44,2,0)</f>
        <v>0</v>
      </c>
      <c r="V116" s="86">
        <f>$D116*HLOOKUP($A116,$A$31:$AA$36,3,FALSE)*HLOOKUP($A116,$A$37:$AA$42,3,FALSE)*VLOOKUP($A116,NPV!$B$3:$C$44,2,0)*VLOOKUP($A116,NPV!$B$3:$C$44,2,0)</f>
        <v>0</v>
      </c>
      <c r="W116" s="86">
        <f t="shared" si="28"/>
        <v>0</v>
      </c>
      <c r="X116" s="86">
        <f>$D116*HLOOKUP($A116,$A$31:$AA$36,4,FALSE)*HLOOKUP($A116,$A$37:$AA$42,4,FALSE)*VLOOKUP($A116,NPV!$B$3:$C$44,2,0)</f>
        <v>0</v>
      </c>
      <c r="Y116" s="86">
        <f t="shared" si="29"/>
        <v>0</v>
      </c>
      <c r="Z116" s="86">
        <f>$D116*HLOOKUP($A116,$A$31:$AA$36,5,FALSE)*HLOOKUP($A116,$A$37:$AA$42,5,FALSE)*VLOOKUP($A116,NPV!$B$3:$C$44,2,0)</f>
        <v>0</v>
      </c>
      <c r="AA116" s="86">
        <f t="shared" si="30"/>
        <v>249108.15934653647</v>
      </c>
      <c r="AB116" s="86">
        <f t="shared" si="31"/>
        <v>177903.72140984601</v>
      </c>
      <c r="AD116" s="86">
        <f>$B$11*$F$55*'Inputs &amp; Parameters'!$B$45</f>
        <v>1463.4359431952466</v>
      </c>
      <c r="AE116" s="86">
        <f>$B$11*$F$55*'Inputs &amp; Parameters'!$B$45*VLOOKUP($A116,NPV!$B$3:$C$44,2,0)</f>
        <v>870.9162775227619</v>
      </c>
      <c r="AF116" s="86">
        <f>$B$11*$E$55*'Inputs &amp; Parameters'!$B$44</f>
        <v>28169.18724513644</v>
      </c>
      <c r="AG116" s="86">
        <f>$B$11*$E$55*'Inputs &amp; Parameters'!$B$44*VLOOKUP($A116,NPV!$B$3:$C$44,2,0)</f>
        <v>16763.97508920743</v>
      </c>
      <c r="AH116" s="86">
        <f t="shared" si="32"/>
        <v>29632.623188331687</v>
      </c>
      <c r="AI116" s="86">
        <f t="shared" si="33"/>
        <v>17634.891366730193</v>
      </c>
      <c r="AK116" s="16">
        <f t="shared" si="21"/>
        <v>3107270.3210127912</v>
      </c>
      <c r="AL116" s="16">
        <f t="shared" si="34"/>
        <v>1878845.9197816143</v>
      </c>
    </row>
    <row r="117" spans="1:38" x14ac:dyDescent="0.25">
      <c r="A117" s="5">
        <f t="shared" si="22"/>
        <v>2040</v>
      </c>
      <c r="B117" s="85">
        <f>'Barge - Liquid'!$B$9*12</f>
        <v>259.66954545454547</v>
      </c>
      <c r="C117" s="10">
        <f>B117*'Inputs &amp; Parameters'!$C$20/60</f>
        <v>4674.0518181818188</v>
      </c>
      <c r="D117" s="10">
        <f>B117*'Inputs &amp; Parameters'!$B$20</f>
        <v>34065.750865891372</v>
      </c>
      <c r="F117" s="86">
        <f>(($B$10/$B$21)*'Inputs &amp; Parameters'!$B$7 + ('Barge - Liquid'!$B$72/'Barge - Liquid'!$B$71)*'Barge - Liquid'!$B$73)</f>
        <v>1713925.3452709387</v>
      </c>
      <c r="G117" s="86">
        <f>(($B$10/$B$21)*'Inputs &amp; Parameters'!$B$7 + ('Barge - Liquid'!$B$72/'Barge - Liquid'!$B$71)*'Barge - Liquid'!$B$73)*VLOOKUP(A117,NPV!$B$4:$D$44,2,0)</f>
        <v>989318.03451167129</v>
      </c>
      <c r="H117" s="86">
        <f t="shared" si="23"/>
        <v>1032965.451818182</v>
      </c>
      <c r="I117" s="86">
        <f>SUM(($B$5-1)*C117*$B$7,1*C117*$B$6)*VLOOKUP(A117,NPV!$B$4:$D$44,2,0)</f>
        <v>596251.96239202388</v>
      </c>
      <c r="J117" s="86">
        <f t="shared" si="24"/>
        <v>77000</v>
      </c>
      <c r="K117" s="86">
        <f>J117*VLOOKUP(A117,NPV!$B$4:$D$44,2,0)</f>
        <v>44446.211655360341</v>
      </c>
      <c r="L117" s="86">
        <f>(B117*($B$12*$B$8))*($B$13/365)*('Barge - Liquid'!$B$69/24)</f>
        <v>4638.7413888022438</v>
      </c>
      <c r="M117" s="86">
        <f>(B117*($B$12*$B$8))*($B$13/365)*('Barge - Liquid'!$B$69/24)*VLOOKUP(A117,NPV!$B$4:$D$44,2,0)</f>
        <v>2677.5906698855156</v>
      </c>
      <c r="N117" s="86">
        <v>0</v>
      </c>
      <c r="O117" s="86">
        <v>0</v>
      </c>
      <c r="P117" s="86">
        <f t="shared" si="25"/>
        <v>2828529.5384779233</v>
      </c>
      <c r="Q117" s="86">
        <f t="shared" si="26"/>
        <v>1632693.7992289411</v>
      </c>
      <c r="R117" s="8"/>
      <c r="S117" s="86">
        <f t="shared" si="27"/>
        <v>252896.87659895531</v>
      </c>
      <c r="T117" s="86">
        <f>$D117*HLOOKUP($A117,$A$31:$AA$36,2,FALSE)*HLOOKUP($A117,$A$37:$AA$42,2,FALSE)*VLOOKUP($A117,NPV!$B$3:$D$44,3,0)</f>
        <v>177068.11905028293</v>
      </c>
      <c r="U117" s="86">
        <f>$D117*HLOOKUP($A117,$A$31:$AA$36,3,FALSE)*HLOOKUP($A117,$A$37:$AA$42,3,FALSE)*VLOOKUP($A117,NPV!$B$3:$C$44,2,0)</f>
        <v>0</v>
      </c>
      <c r="V117" s="86">
        <f>$D117*HLOOKUP($A117,$A$31:$AA$36,3,FALSE)*HLOOKUP($A117,$A$37:$AA$42,3,FALSE)*VLOOKUP($A117,NPV!$B$3:$C$44,2,0)*VLOOKUP($A117,NPV!$B$3:$C$44,2,0)</f>
        <v>0</v>
      </c>
      <c r="W117" s="86">
        <f t="shared" si="28"/>
        <v>0</v>
      </c>
      <c r="X117" s="86">
        <f>$D117*HLOOKUP($A117,$A$31:$AA$36,4,FALSE)*HLOOKUP($A117,$A$37:$AA$42,4,FALSE)*VLOOKUP($A117,NPV!$B$3:$C$44,2,0)</f>
        <v>0</v>
      </c>
      <c r="Y117" s="86">
        <f t="shared" si="29"/>
        <v>0</v>
      </c>
      <c r="Z117" s="86">
        <f>$D117*HLOOKUP($A117,$A$31:$AA$36,5,FALSE)*HLOOKUP($A117,$A$37:$AA$42,5,FALSE)*VLOOKUP($A117,NPV!$B$3:$C$44,2,0)</f>
        <v>0</v>
      </c>
      <c r="AA117" s="86">
        <f t="shared" si="30"/>
        <v>252896.87659895531</v>
      </c>
      <c r="AB117" s="86">
        <f t="shared" si="31"/>
        <v>177068.11905028293</v>
      </c>
      <c r="AD117" s="86">
        <f>$B$11*$F$55*'Inputs &amp; Parameters'!$B$45</f>
        <v>1463.4359431952466</v>
      </c>
      <c r="AE117" s="86">
        <f>$B$11*$F$55*'Inputs &amp; Parameters'!$B$45*VLOOKUP($A117,NPV!$B$3:$C$44,2,0)</f>
        <v>844.72965812101074</v>
      </c>
      <c r="AF117" s="86">
        <f>$B$11*$E$55*'Inputs &amp; Parameters'!$B$44</f>
        <v>28169.18724513644</v>
      </c>
      <c r="AG117" s="86">
        <f>$B$11*$E$55*'Inputs &amp; Parameters'!$B$44*VLOOKUP($A117,NPV!$B$3:$C$44,2,0)</f>
        <v>16259.917642296248</v>
      </c>
      <c r="AH117" s="86">
        <f t="shared" si="32"/>
        <v>29632.623188331687</v>
      </c>
      <c r="AI117" s="86">
        <f t="shared" si="33"/>
        <v>17104.647300417259</v>
      </c>
      <c r="AK117" s="16">
        <f t="shared" si="21"/>
        <v>3111059.0382652101</v>
      </c>
      <c r="AL117" s="16">
        <f t="shared" si="34"/>
        <v>1826866.5655796414</v>
      </c>
    </row>
    <row r="118" spans="1:38" x14ac:dyDescent="0.25">
      <c r="A118" s="5">
        <f t="shared" si="22"/>
        <v>2041</v>
      </c>
      <c r="B118" s="85">
        <f>'Barge - Liquid'!$B$9*12</f>
        <v>259.66954545454547</v>
      </c>
      <c r="C118" s="10">
        <f>B118*'Inputs &amp; Parameters'!$C$20/60</f>
        <v>4674.0518181818188</v>
      </c>
      <c r="D118" s="10">
        <f>B118*'Inputs &amp; Parameters'!$B$20</f>
        <v>34065.750865891372</v>
      </c>
      <c r="F118" s="86">
        <f>(($B$10/$B$21)*'Inputs &amp; Parameters'!$B$7 + ('Barge - Liquid'!$B$72/'Barge - Liquid'!$B$71)*'Barge - Liquid'!$B$73)</f>
        <v>1713925.3452709387</v>
      </c>
      <c r="G118" s="86">
        <f>(($B$10/$B$21)*'Inputs &amp; Parameters'!$B$7 + ('Barge - Liquid'!$B$72/'Barge - Liquid'!$B$71)*'Barge - Liquid'!$B$73)*VLOOKUP(A118,NPV!$B$4:$D$44,2,0)</f>
        <v>959571.32348367746</v>
      </c>
      <c r="H118" s="86">
        <f t="shared" si="23"/>
        <v>1032965.451818182</v>
      </c>
      <c r="I118" s="86">
        <f>SUM(($B$5-1)*C118*$B$7,1*C118*$B$6)*VLOOKUP(A118,NPV!$B$4:$D$44,2,0)</f>
        <v>578323.92084580404</v>
      </c>
      <c r="J118" s="86">
        <f t="shared" si="24"/>
        <v>77000</v>
      </c>
      <c r="K118" s="86">
        <f>J118*VLOOKUP(A118,NPV!$B$4:$D$44,2,0)</f>
        <v>43109.807619166189</v>
      </c>
      <c r="L118" s="86">
        <f>(B118*($B$12*$B$8))*($B$13/365)*('Barge - Liquid'!$B$69/24)</f>
        <v>4638.7413888022438</v>
      </c>
      <c r="M118" s="86">
        <f>(B118*($B$12*$B$8))*($B$13/365)*('Barge - Liquid'!$B$69/24)*VLOOKUP(A118,NPV!$B$4:$D$44,2,0)</f>
        <v>2597.081154108163</v>
      </c>
      <c r="N118" s="86">
        <v>0</v>
      </c>
      <c r="O118" s="86">
        <v>0</v>
      </c>
      <c r="P118" s="86">
        <f t="shared" si="25"/>
        <v>2828529.5384779233</v>
      </c>
      <c r="Q118" s="86">
        <f t="shared" si="26"/>
        <v>1583602.1331027555</v>
      </c>
      <c r="R118" s="8"/>
      <c r="S118" s="86">
        <f t="shared" si="27"/>
        <v>256685.59385137408</v>
      </c>
      <c r="T118" s="86">
        <f>$D118*HLOOKUP($A118,$A$31:$AA$36,2,FALSE)*HLOOKUP($A118,$A$37:$AA$42,2,FALSE)*VLOOKUP($A118,NPV!$B$3:$D$44,3,0)</f>
        <v>176196.88720946855</v>
      </c>
      <c r="U118" s="86">
        <f>$D118*HLOOKUP($A118,$A$31:$AA$36,3,FALSE)*HLOOKUP($A118,$A$37:$AA$42,3,FALSE)*VLOOKUP($A118,NPV!$B$3:$C$44,2,0)</f>
        <v>0</v>
      </c>
      <c r="V118" s="86">
        <f>$D118*HLOOKUP($A118,$A$31:$AA$36,3,FALSE)*HLOOKUP($A118,$A$37:$AA$42,3,FALSE)*VLOOKUP($A118,NPV!$B$3:$C$44,2,0)*VLOOKUP($A118,NPV!$B$3:$C$44,2,0)</f>
        <v>0</v>
      </c>
      <c r="W118" s="86">
        <f t="shared" si="28"/>
        <v>0</v>
      </c>
      <c r="X118" s="86">
        <f>$D118*HLOOKUP($A118,$A$31:$AA$36,4,FALSE)*HLOOKUP($A118,$A$37:$AA$42,4,FALSE)*VLOOKUP($A118,NPV!$B$3:$C$44,2,0)</f>
        <v>0</v>
      </c>
      <c r="Y118" s="86">
        <f t="shared" si="29"/>
        <v>0</v>
      </c>
      <c r="Z118" s="86">
        <f>$D118*HLOOKUP($A118,$A$31:$AA$36,5,FALSE)*HLOOKUP($A118,$A$37:$AA$42,5,FALSE)*VLOOKUP($A118,NPV!$B$3:$C$44,2,0)</f>
        <v>0</v>
      </c>
      <c r="AA118" s="86">
        <f t="shared" si="30"/>
        <v>256685.59385137408</v>
      </c>
      <c r="AB118" s="86">
        <f t="shared" si="31"/>
        <v>176196.88720946855</v>
      </c>
      <c r="AD118" s="86">
        <f>$B$11*$F$55*'Inputs &amp; Parameters'!$B$45</f>
        <v>1463.4359431952466</v>
      </c>
      <c r="AE118" s="86">
        <f>$B$11*$F$55*'Inputs &amp; Parameters'!$B$45*VLOOKUP($A118,NPV!$B$3:$C$44,2,0)</f>
        <v>819.3304152483131</v>
      </c>
      <c r="AF118" s="86">
        <f>$B$11*$E$55*'Inputs &amp; Parameters'!$B$44</f>
        <v>28169.18724513644</v>
      </c>
      <c r="AG118" s="86">
        <f>$B$11*$E$55*'Inputs &amp; Parameters'!$B$44*VLOOKUP($A118,NPV!$B$3:$C$44,2,0)</f>
        <v>15771.016141897429</v>
      </c>
      <c r="AH118" s="86">
        <f t="shared" si="32"/>
        <v>29632.623188331687</v>
      </c>
      <c r="AI118" s="86">
        <f t="shared" si="33"/>
        <v>16590.346557145742</v>
      </c>
      <c r="AK118" s="16">
        <f t="shared" si="21"/>
        <v>3114847.755517629</v>
      </c>
      <c r="AL118" s="16">
        <f t="shared" si="34"/>
        <v>1776389.3668693698</v>
      </c>
    </row>
    <row r="119" spans="1:38" x14ac:dyDescent="0.25">
      <c r="A119" s="5">
        <f t="shared" si="22"/>
        <v>2042</v>
      </c>
      <c r="B119" s="85">
        <f>'Barge - Liquid'!$B$9*12</f>
        <v>259.66954545454547</v>
      </c>
      <c r="C119" s="10">
        <f>B119*'Inputs &amp; Parameters'!$C$20/60</f>
        <v>4674.0518181818188</v>
      </c>
      <c r="D119" s="10">
        <f>B119*'Inputs &amp; Parameters'!$B$20</f>
        <v>34065.750865891372</v>
      </c>
      <c r="F119" s="86">
        <f>(($B$10/$B$21)*'Inputs &amp; Parameters'!$B$7 + ('Barge - Liquid'!$B$72/'Barge - Liquid'!$B$71)*'Barge - Liquid'!$B$73)</f>
        <v>1713925.3452709387</v>
      </c>
      <c r="G119" s="86">
        <f>(($B$10/$B$21)*'Inputs &amp; Parameters'!$B$7 + ('Barge - Liquid'!$B$72/'Barge - Liquid'!$B$71)*'Barge - Liquid'!$B$73)*VLOOKUP(A119,NPV!$B$4:$D$44,2,0)</f>
        <v>930719.03344682592</v>
      </c>
      <c r="H119" s="86">
        <f t="shared" si="23"/>
        <v>1032965.451818182</v>
      </c>
      <c r="I119" s="86">
        <f>SUM(($B$5-1)*C119*$B$7,1*C119*$B$6)*VLOOKUP(A119,NPV!$B$4:$D$44,2,0)</f>
        <v>560934.93777478568</v>
      </c>
      <c r="J119" s="86">
        <f t="shared" si="24"/>
        <v>77000</v>
      </c>
      <c r="K119" s="86">
        <f>J119*VLOOKUP(A119,NPV!$B$4:$D$44,2,0)</f>
        <v>41813.586439540442</v>
      </c>
      <c r="L119" s="86">
        <f>(B119*($B$12*$B$8))*($B$13/365)*('Barge - Liquid'!$B$69/24)</f>
        <v>4638.7413888022438</v>
      </c>
      <c r="M119" s="86">
        <f>(B119*($B$12*$B$8))*($B$13/365)*('Barge - Liquid'!$B$69/24)*VLOOKUP(A119,NPV!$B$4:$D$44,2,0)</f>
        <v>2518.9923900176168</v>
      </c>
      <c r="N119" s="86">
        <v>0</v>
      </c>
      <c r="O119" s="86">
        <v>0</v>
      </c>
      <c r="P119" s="86">
        <f t="shared" si="25"/>
        <v>2828529.5384779233</v>
      </c>
      <c r="Q119" s="86">
        <f t="shared" si="26"/>
        <v>1535986.5500511697</v>
      </c>
      <c r="R119" s="8"/>
      <c r="S119" s="86">
        <f t="shared" si="27"/>
        <v>260474.31110379289</v>
      </c>
      <c r="T119" s="86">
        <f>$D119*HLOOKUP($A119,$A$31:$AA$36,2,FALSE)*HLOOKUP($A119,$A$37:$AA$42,2,FALSE)*VLOOKUP($A119,NPV!$B$3:$D$44,3,0)</f>
        <v>175291.74438392249</v>
      </c>
      <c r="U119" s="86">
        <f>$D119*HLOOKUP($A119,$A$31:$AA$36,3,FALSE)*HLOOKUP($A119,$A$37:$AA$42,3,FALSE)*VLOOKUP($A119,NPV!$B$3:$C$44,2,0)</f>
        <v>0</v>
      </c>
      <c r="V119" s="86">
        <f>$D119*HLOOKUP($A119,$A$31:$AA$36,3,FALSE)*HLOOKUP($A119,$A$37:$AA$42,3,FALSE)*VLOOKUP($A119,NPV!$B$3:$C$44,2,0)*VLOOKUP($A119,NPV!$B$3:$C$44,2,0)</f>
        <v>0</v>
      </c>
      <c r="W119" s="86">
        <f t="shared" si="28"/>
        <v>0</v>
      </c>
      <c r="X119" s="86">
        <f>$D119*HLOOKUP($A119,$A$31:$AA$36,4,FALSE)*HLOOKUP($A119,$A$37:$AA$42,4,FALSE)*VLOOKUP($A119,NPV!$B$3:$C$44,2,0)</f>
        <v>0</v>
      </c>
      <c r="Y119" s="86">
        <f t="shared" si="29"/>
        <v>0</v>
      </c>
      <c r="Z119" s="86">
        <f>$D119*HLOOKUP($A119,$A$31:$AA$36,5,FALSE)*HLOOKUP($A119,$A$37:$AA$42,5,FALSE)*VLOOKUP($A119,NPV!$B$3:$C$44,2,0)</f>
        <v>0</v>
      </c>
      <c r="AA119" s="86">
        <f t="shared" si="30"/>
        <v>260474.31110379289</v>
      </c>
      <c r="AB119" s="86">
        <f t="shared" si="31"/>
        <v>175291.74438392249</v>
      </c>
      <c r="AD119" s="86">
        <f>$B$11*$F$55*'Inputs &amp; Parameters'!$B$45</f>
        <v>1463.4359431952466</v>
      </c>
      <c r="AE119" s="86">
        <f>$B$11*$F$55*'Inputs &amp; Parameters'!$B$45*VLOOKUP($A119,NPV!$B$3:$C$44,2,0)</f>
        <v>794.6948741496733</v>
      </c>
      <c r="AF119" s="86">
        <f>$B$11*$E$55*'Inputs &amp; Parameters'!$B$44</f>
        <v>28169.18724513644</v>
      </c>
      <c r="AG119" s="86">
        <f>$B$11*$E$55*'Inputs &amp; Parameters'!$B$44*VLOOKUP($A119,NPV!$B$3:$C$44,2,0)</f>
        <v>15296.814880598866</v>
      </c>
      <c r="AH119" s="86">
        <f t="shared" si="32"/>
        <v>29632.623188331687</v>
      </c>
      <c r="AI119" s="86">
        <f t="shared" si="33"/>
        <v>16091.509754748538</v>
      </c>
      <c r="AK119" s="16">
        <f t="shared" si="21"/>
        <v>3118636.4727700478</v>
      </c>
      <c r="AL119" s="16">
        <f t="shared" si="34"/>
        <v>1727369.8041898408</v>
      </c>
    </row>
    <row r="120" spans="1:38" x14ac:dyDescent="0.25">
      <c r="A120" s="5">
        <f t="shared" si="22"/>
        <v>2043</v>
      </c>
      <c r="B120" s="85">
        <f>'Barge - Liquid'!$B$9*12</f>
        <v>259.66954545454547</v>
      </c>
      <c r="C120" s="10">
        <f>B120*'Inputs &amp; Parameters'!$C$20/60</f>
        <v>4674.0518181818188</v>
      </c>
      <c r="D120" s="10">
        <f>B120*'Inputs &amp; Parameters'!$B$20</f>
        <v>34065.750865891372</v>
      </c>
      <c r="F120" s="86">
        <f>(($B$10/$B$21)*'Inputs &amp; Parameters'!$B$7 + ('Barge - Liquid'!$B$72/'Barge - Liquid'!$B$71)*'Barge - Liquid'!$B$73)</f>
        <v>1713925.3452709387</v>
      </c>
      <c r="G120" s="86">
        <f>(($B$10/$B$21)*'Inputs &amp; Parameters'!$B$7 + ('Barge - Liquid'!$B$72/'Barge - Liquid'!$B$71)*'Barge - Liquid'!$B$73)*VLOOKUP(A120,NPV!$B$4:$D$44,2,0)</f>
        <v>902734.27104444802</v>
      </c>
      <c r="H120" s="86">
        <f t="shared" si="23"/>
        <v>1032965.451818182</v>
      </c>
      <c r="I120" s="86">
        <f>SUM(($B$5-1)*C120*$B$7,1*C120*$B$6)*VLOOKUP(A120,NPV!$B$4:$D$44,2,0)</f>
        <v>544068.80482520442</v>
      </c>
      <c r="J120" s="86">
        <f t="shared" si="24"/>
        <v>77000</v>
      </c>
      <c r="K120" s="86">
        <f>J120*VLOOKUP(A120,NPV!$B$4:$D$44,2,0)</f>
        <v>40556.339902561049</v>
      </c>
      <c r="L120" s="86">
        <f>(B120*($B$12*$B$8))*($B$13/365)*('Barge - Liquid'!$B$69/24)</f>
        <v>4638.7413888022438</v>
      </c>
      <c r="M120" s="86">
        <f>(B120*($B$12*$B$8))*($B$13/365)*('Barge - Liquid'!$B$69/24)*VLOOKUP(A120,NPV!$B$4:$D$44,2,0)</f>
        <v>2443.2515907057391</v>
      </c>
      <c r="N120" s="86">
        <v>0</v>
      </c>
      <c r="O120" s="86">
        <v>0</v>
      </c>
      <c r="P120" s="86">
        <f t="shared" si="25"/>
        <v>2828529.5384779233</v>
      </c>
      <c r="Q120" s="86">
        <f t="shared" si="26"/>
        <v>1489802.6673629193</v>
      </c>
      <c r="R120" s="8"/>
      <c r="S120" s="86">
        <f t="shared" si="27"/>
        <v>264263.02835621173</v>
      </c>
      <c r="T120" s="86">
        <f>$D120*HLOOKUP($A120,$A$31:$AA$36,2,FALSE)*HLOOKUP($A120,$A$37:$AA$42,2,FALSE)*VLOOKUP($A120,NPV!$B$3:$D$44,3,0)</f>
        <v>174354.35537652185</v>
      </c>
      <c r="U120" s="86">
        <f>$D120*HLOOKUP($A120,$A$31:$AA$36,3,FALSE)*HLOOKUP($A120,$A$37:$AA$42,3,FALSE)*VLOOKUP($A120,NPV!$B$3:$C$44,2,0)</f>
        <v>0</v>
      </c>
      <c r="V120" s="86">
        <f>$D120*HLOOKUP($A120,$A$31:$AA$36,3,FALSE)*HLOOKUP($A120,$A$37:$AA$42,3,FALSE)*VLOOKUP($A120,NPV!$B$3:$C$44,2,0)*VLOOKUP($A120,NPV!$B$3:$C$44,2,0)</f>
        <v>0</v>
      </c>
      <c r="W120" s="86">
        <f t="shared" si="28"/>
        <v>0</v>
      </c>
      <c r="X120" s="86">
        <f>$D120*HLOOKUP($A120,$A$31:$AA$36,4,FALSE)*HLOOKUP($A120,$A$37:$AA$42,4,FALSE)*VLOOKUP($A120,NPV!$B$3:$C$44,2,0)</f>
        <v>0</v>
      </c>
      <c r="Y120" s="86">
        <f t="shared" si="29"/>
        <v>0</v>
      </c>
      <c r="Z120" s="86">
        <f>$D120*HLOOKUP($A120,$A$31:$AA$36,5,FALSE)*HLOOKUP($A120,$A$37:$AA$42,5,FALSE)*VLOOKUP($A120,NPV!$B$3:$C$44,2,0)</f>
        <v>0</v>
      </c>
      <c r="AA120" s="86">
        <f t="shared" si="30"/>
        <v>264263.02835621173</v>
      </c>
      <c r="AB120" s="86">
        <f t="shared" si="31"/>
        <v>174354.35537652185</v>
      </c>
      <c r="AD120" s="86">
        <f>$B$11*$F$55*'Inputs &amp; Parameters'!$B$45</f>
        <v>1463.4359431952466</v>
      </c>
      <c r="AE120" s="86">
        <f>$B$11*$F$55*'Inputs &amp; Parameters'!$B$45*VLOOKUP($A120,NPV!$B$3:$C$44,2,0)</f>
        <v>770.80007192014864</v>
      </c>
      <c r="AF120" s="86">
        <f>$B$11*$E$55*'Inputs &amp; Parameters'!$B$44</f>
        <v>28169.18724513644</v>
      </c>
      <c r="AG120" s="86">
        <f>$B$11*$E$55*'Inputs &amp; Parameters'!$B$44*VLOOKUP($A120,NPV!$B$3:$C$44,2,0)</f>
        <v>14836.871853151179</v>
      </c>
      <c r="AH120" s="86">
        <f t="shared" si="32"/>
        <v>29632.623188331687</v>
      </c>
      <c r="AI120" s="86">
        <f t="shared" si="33"/>
        <v>15607.671925071327</v>
      </c>
      <c r="AK120" s="16">
        <f t="shared" si="21"/>
        <v>3122425.1900224667</v>
      </c>
      <c r="AL120" s="16">
        <f t="shared" si="34"/>
        <v>1679764.6946645125</v>
      </c>
    </row>
    <row r="121" spans="1:38" x14ac:dyDescent="0.25">
      <c r="A121" s="5">
        <f t="shared" si="22"/>
        <v>2044</v>
      </c>
      <c r="B121" s="85">
        <f>'Barge - Liquid'!$B$9*12</f>
        <v>259.66954545454547</v>
      </c>
      <c r="C121" s="10">
        <f>B121*'Inputs &amp; Parameters'!$C$20/60</f>
        <v>4674.0518181818188</v>
      </c>
      <c r="D121" s="10">
        <f>B121*'Inputs &amp; Parameters'!$B$20</f>
        <v>34065.750865891372</v>
      </c>
      <c r="F121" s="86">
        <f>(($B$10/$B$21)*'Inputs &amp; Parameters'!$B$7 + ('Barge - Liquid'!$B$72/'Barge - Liquid'!$B$71)*'Barge - Liquid'!$B$73)</f>
        <v>1713925.3452709387</v>
      </c>
      <c r="G121" s="86">
        <f>(($B$10/$B$21)*'Inputs &amp; Parameters'!$B$7 + ('Barge - Liquid'!$B$72/'Barge - Liquid'!$B$71)*'Barge - Liquid'!$B$73)*VLOOKUP(A121,NPV!$B$4:$D$44,2,0)</f>
        <v>875590.95154650637</v>
      </c>
      <c r="H121" s="86">
        <f t="shared" si="23"/>
        <v>1032965.451818182</v>
      </c>
      <c r="I121" s="86">
        <f>SUM(($B$5-1)*C121*$B$7,1*C121*$B$6)*VLOOKUP(A121,NPV!$B$4:$D$44,2,0)</f>
        <v>527709.80099437875</v>
      </c>
      <c r="J121" s="86">
        <f t="shared" si="24"/>
        <v>77000</v>
      </c>
      <c r="K121" s="86">
        <f>J121*VLOOKUP(A121,NPV!$B$4:$D$44,2,0)</f>
        <v>39336.896122755628</v>
      </c>
      <c r="L121" s="86">
        <f>(B121*($B$12*$B$8))*($B$13/365)*('Barge - Liquid'!$B$69/24)</f>
        <v>4638.7413888022438</v>
      </c>
      <c r="M121" s="86">
        <f>(B121*($B$12*$B$8))*($B$13/365)*('Barge - Liquid'!$B$69/24)*VLOOKUP(A121,NPV!$B$4:$D$44,2,0)</f>
        <v>2369.7881578135202</v>
      </c>
      <c r="N121" s="86">
        <v>0</v>
      </c>
      <c r="O121" s="86">
        <v>0</v>
      </c>
      <c r="P121" s="86">
        <f t="shared" si="25"/>
        <v>2828529.5384779233</v>
      </c>
      <c r="Q121" s="86">
        <f t="shared" si="26"/>
        <v>1445007.4368214542</v>
      </c>
      <c r="R121" s="8"/>
      <c r="S121" s="86">
        <f t="shared" si="27"/>
        <v>268051.74560863047</v>
      </c>
      <c r="T121" s="86">
        <f>$D121*HLOOKUP($A121,$A$31:$AA$36,2,FALSE)*HLOOKUP($A121,$A$37:$AA$42,2,FALSE)*VLOOKUP($A121,NPV!$B$3:$D$44,3,0)</f>
        <v>173386.33274142831</v>
      </c>
      <c r="U121" s="86">
        <f>$D121*HLOOKUP($A121,$A$31:$AA$36,3,FALSE)*HLOOKUP($A121,$A$37:$AA$42,3,FALSE)*VLOOKUP($A121,NPV!$B$3:$C$44,2,0)</f>
        <v>0</v>
      </c>
      <c r="V121" s="86">
        <f>$D121*HLOOKUP($A121,$A$31:$AA$36,3,FALSE)*HLOOKUP($A121,$A$37:$AA$42,3,FALSE)*VLOOKUP($A121,NPV!$B$3:$C$44,2,0)*VLOOKUP($A121,NPV!$B$3:$C$44,2,0)</f>
        <v>0</v>
      </c>
      <c r="W121" s="86">
        <f t="shared" si="28"/>
        <v>0</v>
      </c>
      <c r="X121" s="86">
        <f>$D121*HLOOKUP($A121,$A$31:$AA$36,4,FALSE)*HLOOKUP($A121,$A$37:$AA$42,4,FALSE)*VLOOKUP($A121,NPV!$B$3:$C$44,2,0)</f>
        <v>0</v>
      </c>
      <c r="Y121" s="86">
        <f t="shared" si="29"/>
        <v>0</v>
      </c>
      <c r="Z121" s="86">
        <f>$D121*HLOOKUP($A121,$A$31:$AA$36,5,FALSE)*HLOOKUP($A121,$A$37:$AA$42,5,FALSE)*VLOOKUP($A121,NPV!$B$3:$C$44,2,0)</f>
        <v>0</v>
      </c>
      <c r="AA121" s="86">
        <f t="shared" si="30"/>
        <v>268051.74560863047</v>
      </c>
      <c r="AB121" s="86">
        <f t="shared" si="31"/>
        <v>173386.33274142831</v>
      </c>
      <c r="AD121" s="86">
        <f>$B$11*$F$55*'Inputs &amp; Parameters'!$B$45</f>
        <v>1463.4359431952466</v>
      </c>
      <c r="AE121" s="86">
        <f>$B$11*$F$55*'Inputs &amp; Parameters'!$B$45*VLOOKUP($A121,NPV!$B$3:$C$44,2,0)</f>
        <v>747.62373610101724</v>
      </c>
      <c r="AF121" s="86">
        <f>$B$11*$E$55*'Inputs &amp; Parameters'!$B$44</f>
        <v>28169.18724513644</v>
      </c>
      <c r="AG121" s="86">
        <f>$B$11*$E$55*'Inputs &amp; Parameters'!$B$44*VLOOKUP($A121,NPV!$B$3:$C$44,2,0)</f>
        <v>14390.758344472531</v>
      </c>
      <c r="AH121" s="86">
        <f t="shared" si="32"/>
        <v>29632.623188331687</v>
      </c>
      <c r="AI121" s="86">
        <f t="shared" si="33"/>
        <v>15138.382080573549</v>
      </c>
      <c r="AK121" s="16">
        <f t="shared" si="21"/>
        <v>3126213.9072748856</v>
      </c>
      <c r="AL121" s="16">
        <f t="shared" si="34"/>
        <v>1633532.1516434562</v>
      </c>
    </row>
    <row r="122" spans="1:38" x14ac:dyDescent="0.25">
      <c r="A122" s="5">
        <f t="shared" si="22"/>
        <v>2045</v>
      </c>
      <c r="B122" s="85">
        <f>'Barge - Liquid'!$B$9*12</f>
        <v>259.66954545454547</v>
      </c>
      <c r="C122" s="10">
        <f>B122*'Inputs &amp; Parameters'!$C$20/60</f>
        <v>4674.0518181818188</v>
      </c>
      <c r="D122" s="10">
        <f>B122*'Inputs &amp; Parameters'!$B$20</f>
        <v>34065.750865891372</v>
      </c>
      <c r="F122" s="86">
        <f>(($B$10/$B$21)*'Inputs &amp; Parameters'!$B$7 + ('Barge - Liquid'!$B$72/'Barge - Liquid'!$B$71)*'Barge - Liquid'!$B$73)</f>
        <v>1713925.3452709387</v>
      </c>
      <c r="G122" s="86">
        <f>(($B$10/$B$21)*'Inputs &amp; Parameters'!$B$7 + ('Barge - Liquid'!$B$72/'Barge - Liquid'!$B$71)*'Barge - Liquid'!$B$73)*VLOOKUP(A122,NPV!$B$4:$D$44,2,0)</f>
        <v>849263.7745358937</v>
      </c>
      <c r="H122" s="86">
        <f t="shared" si="23"/>
        <v>1032965.451818182</v>
      </c>
      <c r="I122" s="86">
        <f>SUM(($B$5-1)*C122*$B$7,1*C122*$B$6)*VLOOKUP(A122,NPV!$B$4:$D$44,2,0)</f>
        <v>511842.67797708896</v>
      </c>
      <c r="J122" s="86">
        <f t="shared" si="24"/>
        <v>77000</v>
      </c>
      <c r="K122" s="86">
        <f>J122*VLOOKUP(A122,NPV!$B$4:$D$44,2,0)</f>
        <v>38154.118450781403</v>
      </c>
      <c r="L122" s="86">
        <f>(B122*($B$12*$B$8))*($B$13/365)*('Barge - Liquid'!$B$69/24)</f>
        <v>4638.7413888022438</v>
      </c>
      <c r="M122" s="86">
        <f>(B122*($B$12*$B$8))*($B$13/365)*('Barge - Liquid'!$B$69/24)*VLOOKUP(A122,NPV!$B$4:$D$44,2,0)</f>
        <v>2298.5336157260135</v>
      </c>
      <c r="N122" s="86">
        <v>0</v>
      </c>
      <c r="O122" s="86">
        <v>0</v>
      </c>
      <c r="P122" s="86">
        <f t="shared" si="25"/>
        <v>2828529.5384779233</v>
      </c>
      <c r="Q122" s="86">
        <f t="shared" si="26"/>
        <v>1401559.1045794901</v>
      </c>
      <c r="R122" s="8"/>
      <c r="S122" s="86">
        <f t="shared" si="27"/>
        <v>271840.46286104928</v>
      </c>
      <c r="T122" s="86">
        <f>$D122*HLOOKUP($A122,$A$31:$AA$36,2,FALSE)*HLOOKUP($A122,$A$37:$AA$42,2,FALSE)*VLOOKUP($A122,NPV!$B$3:$D$44,3,0)</f>
        <v>172389.23819299499</v>
      </c>
      <c r="U122" s="86">
        <f>$D122*HLOOKUP($A122,$A$31:$AA$36,3,FALSE)*HLOOKUP($A122,$A$37:$AA$42,3,FALSE)*VLOOKUP($A122,NPV!$B$3:$C$44,2,0)</f>
        <v>0</v>
      </c>
      <c r="V122" s="86">
        <f>$D122*HLOOKUP($A122,$A$31:$AA$36,3,FALSE)*HLOOKUP($A122,$A$37:$AA$42,3,FALSE)*VLOOKUP($A122,NPV!$B$3:$C$44,2,0)*VLOOKUP($A122,NPV!$B$3:$C$44,2,0)</f>
        <v>0</v>
      </c>
      <c r="W122" s="86">
        <f t="shared" si="28"/>
        <v>0</v>
      </c>
      <c r="X122" s="86">
        <f>$D122*HLOOKUP($A122,$A$31:$AA$36,4,FALSE)*HLOOKUP($A122,$A$37:$AA$42,4,FALSE)*VLOOKUP($A122,NPV!$B$3:$C$44,2,0)</f>
        <v>0</v>
      </c>
      <c r="Y122" s="86">
        <f t="shared" si="29"/>
        <v>0</v>
      </c>
      <c r="Z122" s="86">
        <f>$D122*HLOOKUP($A122,$A$31:$AA$36,5,FALSE)*HLOOKUP($A122,$A$37:$AA$42,5,FALSE)*VLOOKUP($A122,NPV!$B$3:$C$44,2,0)</f>
        <v>0</v>
      </c>
      <c r="AA122" s="86">
        <f t="shared" si="30"/>
        <v>271840.46286104928</v>
      </c>
      <c r="AB122" s="86">
        <f t="shared" si="31"/>
        <v>172389.23819299499</v>
      </c>
      <c r="AD122" s="86">
        <f>$B$11*$F$55*'Inputs &amp; Parameters'!$B$45</f>
        <v>1463.4359431952466</v>
      </c>
      <c r="AE122" s="86">
        <f>$B$11*$F$55*'Inputs &amp; Parameters'!$B$45*VLOOKUP($A122,NPV!$B$3:$C$44,2,0)</f>
        <v>725.14426391951224</v>
      </c>
      <c r="AF122" s="86">
        <f>$B$11*$E$55*'Inputs &amp; Parameters'!$B$44</f>
        <v>28169.18724513644</v>
      </c>
      <c r="AG122" s="86">
        <f>$B$11*$E$55*'Inputs &amp; Parameters'!$B$44*VLOOKUP($A122,NPV!$B$3:$C$44,2,0)</f>
        <v>13958.058530041253</v>
      </c>
      <c r="AH122" s="86">
        <f t="shared" si="32"/>
        <v>29632.623188331687</v>
      </c>
      <c r="AI122" s="86">
        <f t="shared" si="33"/>
        <v>14683.202793960765</v>
      </c>
      <c r="AK122" s="16">
        <f t="shared" si="21"/>
        <v>3130002.6245273044</v>
      </c>
      <c r="AL122" s="16">
        <f t="shared" si="34"/>
        <v>1588631.5455664459</v>
      </c>
    </row>
    <row r="123" spans="1:38" x14ac:dyDescent="0.25">
      <c r="A123" s="5">
        <f t="shared" si="22"/>
        <v>2046</v>
      </c>
      <c r="B123" s="85">
        <f>'Barge - Liquid'!$B$9*12</f>
        <v>259.66954545454547</v>
      </c>
      <c r="C123" s="10">
        <f>B123*'Inputs &amp; Parameters'!$C$20/60</f>
        <v>4674.0518181818188</v>
      </c>
      <c r="D123" s="10">
        <f>B123*'Inputs &amp; Parameters'!$B$20</f>
        <v>34065.750865891372</v>
      </c>
      <c r="F123" s="86">
        <f>(($B$10/$B$21)*'Inputs &amp; Parameters'!$B$7 + ('Barge - Liquid'!$B$72/'Barge - Liquid'!$B$71)*'Barge - Liquid'!$B$73)</f>
        <v>1713925.3452709387</v>
      </c>
      <c r="G123" s="86">
        <f>(($B$10/$B$21)*'Inputs &amp; Parameters'!$B$7 + ('Barge - Liquid'!$B$72/'Barge - Liquid'!$B$71)*'Barge - Liquid'!$B$73)*VLOOKUP(A123,NPV!$B$4:$D$44,2,0)</f>
        <v>823728.20032579417</v>
      </c>
      <c r="H123" s="86">
        <f t="shared" si="23"/>
        <v>1032965.451818182</v>
      </c>
      <c r="I123" s="86">
        <f>SUM(($B$5-1)*C123*$B$7,1*C123*$B$6)*VLOOKUP(A123,NPV!$B$4:$D$44,2,0)</f>
        <v>496452.64595255966</v>
      </c>
      <c r="J123" s="86">
        <f t="shared" si="24"/>
        <v>77000</v>
      </c>
      <c r="K123" s="86">
        <f>J123*VLOOKUP(A123,NPV!$B$4:$D$44,2,0)</f>
        <v>37006.904413948992</v>
      </c>
      <c r="L123" s="86">
        <f>(B123*($B$12*$B$8))*($B$13/365)*('Barge - Liquid'!$B$69/24)</f>
        <v>4638.7413888022438</v>
      </c>
      <c r="M123" s="86">
        <f>(B123*($B$12*$B$8))*($B$13/365)*('Barge - Liquid'!$B$69/24)*VLOOKUP(A123,NPV!$B$4:$D$44,2,0)</f>
        <v>2229.4215477458915</v>
      </c>
      <c r="N123" s="86">
        <v>0</v>
      </c>
      <c r="O123" s="86">
        <v>0</v>
      </c>
      <c r="P123" s="86">
        <f t="shared" si="25"/>
        <v>2828529.5384779233</v>
      </c>
      <c r="Q123" s="86">
        <f t="shared" si="26"/>
        <v>1359417.1722400486</v>
      </c>
      <c r="R123" s="8"/>
      <c r="S123" s="86">
        <f t="shared" si="27"/>
        <v>275629.18011346814</v>
      </c>
      <c r="T123" s="86">
        <f>$D123*HLOOKUP($A123,$A$31:$AA$36,2,FALSE)*HLOOKUP($A123,$A$37:$AA$42,2,FALSE)*VLOOKUP($A123,NPV!$B$3:$D$44,3,0)</f>
        <v>171364.58397950928</v>
      </c>
      <c r="U123" s="86">
        <f>$D123*HLOOKUP($A123,$A$31:$AA$36,3,FALSE)*HLOOKUP($A123,$A$37:$AA$42,3,FALSE)*VLOOKUP($A123,NPV!$B$3:$C$44,2,0)</f>
        <v>0</v>
      </c>
      <c r="V123" s="86">
        <f>$D123*HLOOKUP($A123,$A$31:$AA$36,3,FALSE)*HLOOKUP($A123,$A$37:$AA$42,3,FALSE)*VLOOKUP($A123,NPV!$B$3:$C$44,2,0)*VLOOKUP($A123,NPV!$B$3:$C$44,2,0)</f>
        <v>0</v>
      </c>
      <c r="W123" s="86">
        <f t="shared" si="28"/>
        <v>0</v>
      </c>
      <c r="X123" s="86">
        <f>$D123*HLOOKUP($A123,$A$31:$AA$36,4,FALSE)*HLOOKUP($A123,$A$37:$AA$42,4,FALSE)*VLOOKUP($A123,NPV!$B$3:$C$44,2,0)</f>
        <v>0</v>
      </c>
      <c r="Y123" s="86">
        <f t="shared" si="29"/>
        <v>0</v>
      </c>
      <c r="Z123" s="86">
        <f>$D123*HLOOKUP($A123,$A$31:$AA$36,5,FALSE)*HLOOKUP($A123,$A$37:$AA$42,5,FALSE)*VLOOKUP($A123,NPV!$B$3:$C$44,2,0)</f>
        <v>0</v>
      </c>
      <c r="AA123" s="86">
        <f t="shared" si="30"/>
        <v>275629.18011346814</v>
      </c>
      <c r="AB123" s="86">
        <f t="shared" si="31"/>
        <v>171364.58397950928</v>
      </c>
      <c r="AD123" s="86">
        <f>$B$11*$F$55*'Inputs &amp; Parameters'!$B$45</f>
        <v>1463.4359431952466</v>
      </c>
      <c r="AE123" s="86">
        <f>$B$11*$F$55*'Inputs &amp; Parameters'!$B$45*VLOOKUP($A123,NPV!$B$3:$C$44,2,0)</f>
        <v>703.34070215277632</v>
      </c>
      <c r="AF123" s="86">
        <f>$B$11*$E$55*'Inputs &amp; Parameters'!$B$44</f>
        <v>28169.18724513644</v>
      </c>
      <c r="AG123" s="86">
        <f>$B$11*$E$55*'Inputs &amp; Parameters'!$B$44*VLOOKUP($A123,NPV!$B$3:$C$44,2,0)</f>
        <v>13538.369088303836</v>
      </c>
      <c r="AH123" s="86">
        <f t="shared" si="32"/>
        <v>29632.623188331687</v>
      </c>
      <c r="AI123" s="86">
        <f t="shared" si="33"/>
        <v>14241.709790456613</v>
      </c>
      <c r="AK123" s="16">
        <f t="shared" si="21"/>
        <v>3133791.3417797233</v>
      </c>
      <c r="AL123" s="16">
        <f t="shared" si="34"/>
        <v>1545023.4660100145</v>
      </c>
    </row>
    <row r="124" spans="1:38" x14ac:dyDescent="0.25">
      <c r="A124" s="5">
        <f t="shared" si="22"/>
        <v>2047</v>
      </c>
      <c r="B124" s="85">
        <f>'Barge - Liquid'!$B$9*12</f>
        <v>259.66954545454547</v>
      </c>
      <c r="C124" s="10">
        <f>B124*'Inputs &amp; Parameters'!$C$20/60</f>
        <v>4674.0518181818188</v>
      </c>
      <c r="D124" s="10">
        <f>B124*'Inputs &amp; Parameters'!$B$20</f>
        <v>34065.750865891372</v>
      </c>
      <c r="F124" s="86">
        <f>(($B$10/$B$21)*'Inputs &amp; Parameters'!$B$7 + ('Barge - Liquid'!$B$72/'Barge - Liquid'!$B$71)*'Barge - Liquid'!$B$73)</f>
        <v>1713925.3452709387</v>
      </c>
      <c r="G124" s="86">
        <f>(($B$10/$B$21)*'Inputs &amp; Parameters'!$B$7 + ('Barge - Liquid'!$B$72/'Barge - Liquid'!$B$71)*'Barge - Liquid'!$B$73)*VLOOKUP(A124,NPV!$B$4:$D$44,2,0)</f>
        <v>798960.42708612431</v>
      </c>
      <c r="H124" s="86">
        <f t="shared" si="23"/>
        <v>1032965.451818182</v>
      </c>
      <c r="I124" s="86">
        <f>SUM(($B$5-1)*C124*$B$7,1*C124*$B$6)*VLOOKUP(A124,NPV!$B$4:$D$44,2,0)</f>
        <v>481525.35979879694</v>
      </c>
      <c r="J124" s="86">
        <f t="shared" si="24"/>
        <v>77000</v>
      </c>
      <c r="K124" s="86">
        <f>J124*VLOOKUP(A124,NPV!$B$4:$D$44,2,0)</f>
        <v>35894.18468860232</v>
      </c>
      <c r="L124" s="86">
        <f>(B124*($B$12*$B$8))*($B$13/365)*('Barge - Liquid'!$B$69/24)</f>
        <v>4638.7413888022438</v>
      </c>
      <c r="M124" s="86">
        <f>(B124*($B$12*$B$8))*($B$13/365)*('Barge - Liquid'!$B$69/24)*VLOOKUP(A124,NPV!$B$4:$D$44,2,0)</f>
        <v>2162.3875341861217</v>
      </c>
      <c r="N124" s="86">
        <v>0</v>
      </c>
      <c r="O124" s="86">
        <v>0</v>
      </c>
      <c r="P124" s="86">
        <f t="shared" si="25"/>
        <v>2828529.5384779233</v>
      </c>
      <c r="Q124" s="86">
        <f t="shared" si="26"/>
        <v>1318542.3591077095</v>
      </c>
      <c r="R124" s="8"/>
      <c r="S124" s="86">
        <f t="shared" si="27"/>
        <v>280365.07667899161</v>
      </c>
      <c r="T124" s="86">
        <f>$D124*HLOOKUP($A124,$A$31:$AA$36,2,FALSE)*HLOOKUP($A124,$A$37:$AA$42,2,FALSE)*VLOOKUP($A124,NPV!$B$3:$D$44,3,0)</f>
        <v>170891.16925387355</v>
      </c>
      <c r="U124" s="86">
        <f>$D124*HLOOKUP($A124,$A$31:$AA$36,3,FALSE)*HLOOKUP($A124,$A$37:$AA$42,3,FALSE)*VLOOKUP($A124,NPV!$B$3:$C$44,2,0)</f>
        <v>0</v>
      </c>
      <c r="V124" s="86">
        <f>$D124*HLOOKUP($A124,$A$31:$AA$36,3,FALSE)*HLOOKUP($A124,$A$37:$AA$42,3,FALSE)*VLOOKUP($A124,NPV!$B$3:$C$44,2,0)*VLOOKUP($A124,NPV!$B$3:$C$44,2,0)</f>
        <v>0</v>
      </c>
      <c r="W124" s="86">
        <f t="shared" si="28"/>
        <v>0</v>
      </c>
      <c r="X124" s="86">
        <f>$D124*HLOOKUP($A124,$A$31:$AA$36,4,FALSE)*HLOOKUP($A124,$A$37:$AA$42,4,FALSE)*VLOOKUP($A124,NPV!$B$3:$C$44,2,0)</f>
        <v>0</v>
      </c>
      <c r="Y124" s="86">
        <f t="shared" si="29"/>
        <v>0</v>
      </c>
      <c r="Z124" s="86">
        <f>$D124*HLOOKUP($A124,$A$31:$AA$36,5,FALSE)*HLOOKUP($A124,$A$37:$AA$42,5,FALSE)*VLOOKUP($A124,NPV!$B$3:$C$44,2,0)</f>
        <v>0</v>
      </c>
      <c r="AA124" s="86">
        <f t="shared" si="30"/>
        <v>280365.07667899161</v>
      </c>
      <c r="AB124" s="86">
        <f t="shared" si="31"/>
        <v>170891.16925387355</v>
      </c>
      <c r="AD124" s="86">
        <f>$B$11*$F$55*'Inputs &amp; Parameters'!$B$45</f>
        <v>1463.4359431952466</v>
      </c>
      <c r="AE124" s="86">
        <f>$B$11*$F$55*'Inputs &amp; Parameters'!$B$45*VLOOKUP($A124,NPV!$B$3:$C$44,2,0)</f>
        <v>682.1927275972613</v>
      </c>
      <c r="AF124" s="86">
        <f>$B$11*$E$55*'Inputs &amp; Parameters'!$B$44</f>
        <v>28169.18724513644</v>
      </c>
      <c r="AG124" s="86">
        <f>$B$11*$E$55*'Inputs &amp; Parameters'!$B$44*VLOOKUP($A124,NPV!$B$3:$C$44,2,0)</f>
        <v>13131.298824736989</v>
      </c>
      <c r="AH124" s="86">
        <f t="shared" si="32"/>
        <v>29632.623188331687</v>
      </c>
      <c r="AI124" s="86">
        <f t="shared" si="33"/>
        <v>13813.49155233425</v>
      </c>
      <c r="AK124" s="16">
        <f t="shared" si="21"/>
        <v>3138527.2383452468</v>
      </c>
      <c r="AL124" s="16">
        <f t="shared" si="34"/>
        <v>1503247.0199139174</v>
      </c>
    </row>
    <row r="125" spans="1:38" x14ac:dyDescent="0.25">
      <c r="A125" s="88" t="s">
        <v>45</v>
      </c>
      <c r="B125" s="37">
        <f>SUBTOTAL(9,B105:B124)</f>
        <v>5193.3909090909092</v>
      </c>
      <c r="C125" s="37">
        <f>SUBTOTAL(9,C105:C124)</f>
        <v>93481.036363636376</v>
      </c>
      <c r="D125" s="37">
        <f>SUBTOTAL(9,D105:D124)</f>
        <v>681315.01731782709</v>
      </c>
      <c r="F125" s="39">
        <f t="shared" ref="F125:P125" si="35">SUBTOTAL(9,F105:F124)</f>
        <v>34278506.905418776</v>
      </c>
      <c r="G125" s="39">
        <f t="shared" si="35"/>
        <v>21688082.595603403</v>
      </c>
      <c r="H125" s="39">
        <f t="shared" si="35"/>
        <v>20659309.036363639</v>
      </c>
      <c r="I125" s="39">
        <f t="shared" si="35"/>
        <v>13071187.784959229</v>
      </c>
      <c r="J125" s="39">
        <f t="shared" si="35"/>
        <v>1540000</v>
      </c>
      <c r="K125" s="39">
        <f t="shared" si="35"/>
        <v>974361.20217795717</v>
      </c>
      <c r="L125" s="39">
        <f t="shared" si="35"/>
        <v>92774.827776044855</v>
      </c>
      <c r="M125" s="39">
        <f t="shared" si="35"/>
        <v>58698.826443974038</v>
      </c>
      <c r="N125" s="39">
        <f t="shared" si="35"/>
        <v>0</v>
      </c>
      <c r="O125" s="39">
        <f t="shared" si="35"/>
        <v>0</v>
      </c>
      <c r="P125" s="39">
        <f t="shared" si="35"/>
        <v>56570590.769558437</v>
      </c>
      <c r="Q125" s="39">
        <f>SUBTOTAL(9,Q105:Q124)</f>
        <v>35792330.40918456</v>
      </c>
      <c r="R125" s="40"/>
      <c r="S125" s="39">
        <f t="shared" ref="S125:AA125" si="36">SUBTOTAL(9,S105:S124)</f>
        <v>4890286.7935595727</v>
      </c>
      <c r="T125" s="39">
        <f t="shared" si="36"/>
        <v>3586219.0401351852</v>
      </c>
      <c r="U125" s="39">
        <f t="shared" si="36"/>
        <v>0</v>
      </c>
      <c r="V125" s="39">
        <f t="shared" si="36"/>
        <v>0</v>
      </c>
      <c r="W125" s="39">
        <f t="shared" si="36"/>
        <v>0</v>
      </c>
      <c r="X125" s="39">
        <f t="shared" si="36"/>
        <v>0</v>
      </c>
      <c r="Y125" s="39">
        <f t="shared" si="36"/>
        <v>0</v>
      </c>
      <c r="Z125" s="39">
        <f t="shared" si="36"/>
        <v>0</v>
      </c>
      <c r="AA125" s="39">
        <f t="shared" si="36"/>
        <v>4890286.7935595727</v>
      </c>
      <c r="AB125" s="39">
        <f>SUBTOTAL(9,AB105:AB124)</f>
        <v>3586219.0401351852</v>
      </c>
      <c r="AC125" s="1"/>
      <c r="AD125" s="39">
        <f t="shared" ref="AD125:AH125" si="37">SUBTOTAL(9,AD105:AD124)</f>
        <v>29268.718863904938</v>
      </c>
      <c r="AE125" s="39">
        <f t="shared" si="37"/>
        <v>18518.379284703282</v>
      </c>
      <c r="AF125" s="39">
        <f t="shared" si="37"/>
        <v>563383.74490272871</v>
      </c>
      <c r="AG125" s="39">
        <f t="shared" si="37"/>
        <v>356454.06686424819</v>
      </c>
      <c r="AH125" s="39">
        <f t="shared" si="37"/>
        <v>592652.46376663365</v>
      </c>
      <c r="AI125" s="39">
        <f>SUBTOTAL(9,AI105:AI124)</f>
        <v>374972.44614895154</v>
      </c>
      <c r="AJ125" s="1"/>
      <c r="AK125" s="39">
        <f>SUBTOTAL(9,AK105:AK124)</f>
        <v>62053530.02688469</v>
      </c>
      <c r="AL125" s="39">
        <f>SUBTOTAL(9,AL105:AL124)</f>
        <v>39753521.895468697</v>
      </c>
    </row>
    <row r="128" spans="1:38" x14ac:dyDescent="0.25">
      <c r="L128" s="8"/>
    </row>
  </sheetData>
  <mergeCells count="6">
    <mergeCell ref="A57:F57"/>
    <mergeCell ref="A17:B17"/>
    <mergeCell ref="A47:B47"/>
    <mergeCell ref="C47:D47"/>
    <mergeCell ref="E47:F47"/>
    <mergeCell ref="A56:F56"/>
  </mergeCells>
  <hyperlinks>
    <hyperlink ref="A56" r:id="rId1" xr:uid="{D0A4E334-9FE5-400B-8184-D8B72AE859CE}"/>
    <hyperlink ref="B15" r:id="rId2" display="https://www.tredis.com/pdf/User_Docs/TREDIS6_Data_Sources_and_Default_Values.pdf" xr:uid="{F9BFE05D-C093-4B8A-A91C-414A6760BA0C}"/>
    <hyperlink ref="C18" r:id="rId3" display="https://www.tredis.com/pdf/User_Docs/TREDIS6_Data_Sources_and_Default_Values.pdf" xr:uid="{3906E210-41AA-4F2F-986D-BDABFDC948AF}"/>
    <hyperlink ref="C20" r:id="rId4" display="https://nationalwaterwaysfoundation.org/file/28/TTI 2022 FINAL Report 2001-2019 1.pdf" xr:uid="{1AEB4592-F5F0-4880-B9C6-38F0FB78BC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BBC2E-8782-4FA9-9E9C-BFA5103BBE3C}">
  <sheetPr>
    <tabColor theme="9" tint="0.79998168889431442"/>
  </sheetPr>
  <dimension ref="A2:AK69"/>
  <sheetViews>
    <sheetView topLeftCell="A23" workbookViewId="0">
      <selection activeCell="E42" sqref="E42"/>
    </sheetView>
  </sheetViews>
  <sheetFormatPr defaultRowHeight="15" x14ac:dyDescent="0.25"/>
  <cols>
    <col min="1" max="1" width="27.28515625" customWidth="1"/>
    <col min="2" max="2" width="19.42578125" bestFit="1" customWidth="1"/>
    <col min="3" max="3" width="10.28515625" bestFit="1" customWidth="1"/>
    <col min="4" max="4" width="14.28515625" customWidth="1"/>
    <col min="5" max="5" width="10.7109375" customWidth="1"/>
    <col min="6" max="13" width="15.7109375" customWidth="1"/>
    <col min="15" max="32" width="15.7109375" customWidth="1"/>
  </cols>
  <sheetData>
    <row r="2" spans="1:9" x14ac:dyDescent="0.25">
      <c r="A2" s="14" t="s">
        <v>263</v>
      </c>
      <c r="B2" s="13"/>
      <c r="G2" s="127"/>
    </row>
    <row r="3" spans="1:9" ht="45" x14ac:dyDescent="0.25">
      <c r="A3" s="87" t="s">
        <v>188</v>
      </c>
      <c r="B3" s="18">
        <f>'Capital Costs'!B5</f>
        <v>2028</v>
      </c>
      <c r="G3" s="128"/>
    </row>
    <row r="4" spans="1:9" ht="30" x14ac:dyDescent="0.25">
      <c r="A4" s="87" t="s">
        <v>264</v>
      </c>
      <c r="B4" s="18">
        <f>'Inputs &amp; Parameters'!B19</f>
        <v>140.80000000000001</v>
      </c>
      <c r="G4" s="128"/>
    </row>
    <row r="5" spans="1:9" x14ac:dyDescent="0.25">
      <c r="A5" s="5" t="s">
        <v>265</v>
      </c>
      <c r="B5" s="18">
        <v>25</v>
      </c>
      <c r="G5" s="128"/>
    </row>
    <row r="6" spans="1:9" ht="45" x14ac:dyDescent="0.25">
      <c r="A6" s="87" t="s">
        <v>266</v>
      </c>
      <c r="B6" s="47">
        <f>ROUNDDOWN('Inputs &amp; Parameters'!$B$15*'Inputs &amp; Parameters'!B22/'Truck Diversion (No Build)- Dry'!$B$5/52,0)</f>
        <v>258</v>
      </c>
      <c r="C6" t="s">
        <v>267</v>
      </c>
      <c r="G6" s="128"/>
    </row>
    <row r="7" spans="1:9" ht="45" x14ac:dyDescent="0.25">
      <c r="A7" s="87" t="s">
        <v>268</v>
      </c>
      <c r="B7" s="47">
        <f>ROUNDDOWN('Inputs &amp; Parameters'!$E$15*'Inputs &amp; Parameters'!B22/'Truck Diversion (No Build)- Dry'!$B$5/52,0)</f>
        <v>282</v>
      </c>
      <c r="C7" t="s">
        <v>267</v>
      </c>
      <c r="G7" s="128"/>
      <c r="H7" s="74"/>
      <c r="I7" s="26"/>
    </row>
    <row r="8" spans="1:9" x14ac:dyDescent="0.25">
      <c r="A8" s="5" t="s">
        <v>269</v>
      </c>
      <c r="B8" s="18">
        <v>1</v>
      </c>
      <c r="G8" s="128"/>
    </row>
    <row r="9" spans="1:9" x14ac:dyDescent="0.25">
      <c r="A9" s="31" t="s">
        <v>270</v>
      </c>
      <c r="B9" s="3">
        <v>33.5</v>
      </c>
      <c r="C9" t="s">
        <v>79</v>
      </c>
      <c r="G9" s="128"/>
    </row>
    <row r="10" spans="1:9" x14ac:dyDescent="0.25">
      <c r="A10" s="31" t="s">
        <v>394</v>
      </c>
      <c r="B10" s="159">
        <f>1/3</f>
        <v>0.33333333333333331</v>
      </c>
      <c r="G10" s="128"/>
    </row>
    <row r="11" spans="1:9" ht="13.9" customHeight="1" x14ac:dyDescent="0.25">
      <c r="G11" s="128"/>
    </row>
    <row r="12" spans="1:9" x14ac:dyDescent="0.25">
      <c r="A12" s="59" t="s">
        <v>271</v>
      </c>
      <c r="B12" s="15" t="s">
        <v>272</v>
      </c>
      <c r="C12" s="15" t="s">
        <v>77</v>
      </c>
    </row>
    <row r="13" spans="1:9" x14ac:dyDescent="0.25">
      <c r="A13" s="5" t="s">
        <v>273</v>
      </c>
      <c r="B13" s="63">
        <v>0.23599999999999999</v>
      </c>
      <c r="C13" s="5" t="s">
        <v>274</v>
      </c>
    </row>
    <row r="14" spans="1:9" x14ac:dyDescent="0.25">
      <c r="A14" s="5" t="s">
        <v>275</v>
      </c>
      <c r="B14" s="63">
        <v>2.1999999999999999E-2</v>
      </c>
      <c r="C14" s="5" t="s">
        <v>274</v>
      </c>
    </row>
    <row r="15" spans="1:9" x14ac:dyDescent="0.25">
      <c r="A15" s="5" t="s">
        <v>102</v>
      </c>
      <c r="B15" s="63">
        <v>2.1000000000000001E-2</v>
      </c>
      <c r="C15" s="5" t="s">
        <v>274</v>
      </c>
    </row>
    <row r="16" spans="1:9" x14ac:dyDescent="0.25">
      <c r="A16" s="5" t="s">
        <v>276</v>
      </c>
      <c r="B16" s="63">
        <v>3.5000000000000003E-2</v>
      </c>
      <c r="C16" s="5" t="s">
        <v>274</v>
      </c>
    </row>
    <row r="17" spans="1:37" x14ac:dyDescent="0.25">
      <c r="A17" s="5" t="s">
        <v>277</v>
      </c>
      <c r="B17" s="63">
        <v>0.30099999999999999</v>
      </c>
      <c r="C17" s="5" t="s">
        <v>274</v>
      </c>
    </row>
    <row r="18" spans="1:37" x14ac:dyDescent="0.25">
      <c r="A18" s="31" t="s">
        <v>278</v>
      </c>
      <c r="B18" s="75">
        <v>1.32</v>
      </c>
      <c r="C18" s="64" t="s">
        <v>279</v>
      </c>
    </row>
    <row r="19" spans="1:37" x14ac:dyDescent="0.25">
      <c r="A19" s="5" t="s">
        <v>280</v>
      </c>
      <c r="B19" s="63">
        <v>0.05</v>
      </c>
      <c r="C19" s="64" t="s">
        <v>281</v>
      </c>
    </row>
    <row r="20" spans="1:37" x14ac:dyDescent="0.25">
      <c r="B20" s="69"/>
    </row>
    <row r="21" spans="1:37" ht="20.25" thickBot="1" x14ac:dyDescent="0.35">
      <c r="A21" s="19" t="s">
        <v>282</v>
      </c>
    </row>
    <row r="22" spans="1:37" ht="15.75" thickTop="1" x14ac:dyDescent="0.25">
      <c r="F22" s="185" t="s">
        <v>46</v>
      </c>
      <c r="G22" s="186"/>
      <c r="H22" s="186"/>
      <c r="I22" s="186"/>
      <c r="J22" s="186"/>
      <c r="K22" s="186"/>
      <c r="L22" s="186"/>
      <c r="M22" s="187"/>
      <c r="N22" s="7"/>
      <c r="O22" s="185" t="s">
        <v>283</v>
      </c>
      <c r="P22" s="186"/>
      <c r="Q22" s="186"/>
      <c r="R22" s="186"/>
      <c r="S22" s="186"/>
      <c r="T22" s="187"/>
      <c r="V22" s="185" t="s">
        <v>271</v>
      </c>
      <c r="W22" s="186"/>
      <c r="X22" s="186"/>
      <c r="Y22" s="186"/>
      <c r="Z22" s="186"/>
      <c r="AA22" s="186"/>
      <c r="AB22" s="186"/>
      <c r="AC22" s="187"/>
    </row>
    <row r="23" spans="1:37" s="74" customFormat="1" ht="45" x14ac:dyDescent="0.25">
      <c r="A23" s="15" t="s">
        <v>42</v>
      </c>
      <c r="B23" s="15" t="s">
        <v>395</v>
      </c>
      <c r="C23" s="15" t="s">
        <v>284</v>
      </c>
      <c r="D23" s="15" t="s">
        <v>285</v>
      </c>
      <c r="E23" s="130"/>
      <c r="F23" s="15" t="s">
        <v>46</v>
      </c>
      <c r="G23" s="15" t="s">
        <v>65</v>
      </c>
      <c r="H23" s="15" t="s">
        <v>286</v>
      </c>
      <c r="I23" s="131" t="s">
        <v>287</v>
      </c>
      <c r="J23" s="131" t="s">
        <v>288</v>
      </c>
      <c r="K23" s="15" t="s">
        <v>289</v>
      </c>
      <c r="L23" s="15" t="s">
        <v>45</v>
      </c>
      <c r="M23" s="15" t="s">
        <v>33</v>
      </c>
      <c r="N23" s="130"/>
      <c r="O23" s="15" t="s">
        <v>214</v>
      </c>
      <c r="P23" s="15" t="s">
        <v>254</v>
      </c>
      <c r="Q23" s="15" t="s">
        <v>290</v>
      </c>
      <c r="R23" s="15" t="s">
        <v>291</v>
      </c>
      <c r="S23" s="15" t="s">
        <v>45</v>
      </c>
      <c r="T23" s="15" t="s">
        <v>33</v>
      </c>
      <c r="V23" s="15" t="s">
        <v>273</v>
      </c>
      <c r="W23" s="15" t="s">
        <v>292</v>
      </c>
      <c r="X23" s="15" t="s">
        <v>275</v>
      </c>
      <c r="Y23" s="15" t="s">
        <v>293</v>
      </c>
      <c r="Z23" s="15" t="s">
        <v>102</v>
      </c>
      <c r="AA23" s="15" t="s">
        <v>294</v>
      </c>
      <c r="AB23" s="15" t="s">
        <v>45</v>
      </c>
      <c r="AC23" s="15" t="s">
        <v>33</v>
      </c>
      <c r="AE23" s="15" t="s">
        <v>45</v>
      </c>
      <c r="AF23" s="15" t="s">
        <v>33</v>
      </c>
    </row>
    <row r="24" spans="1:37" x14ac:dyDescent="0.25">
      <c r="A24" s="5">
        <f>B3</f>
        <v>2028</v>
      </c>
      <c r="B24" s="10">
        <f>$B$6*52</f>
        <v>13416</v>
      </c>
      <c r="C24" s="10">
        <f>B24*'Inputs &amp; Parameters'!$C$19/60</f>
        <v>49192</v>
      </c>
      <c r="D24" s="10">
        <f>B24*'Inputs &amp; Parameters'!$B$19</f>
        <v>1888972.8</v>
      </c>
      <c r="E24" s="9"/>
      <c r="F24" s="16">
        <f>D24*$B$18</f>
        <v>2493444.0960000004</v>
      </c>
      <c r="G24" s="16">
        <f>D24*$B$18*VLOOKUP($A24,NPV!$B$3:$D$44,2,0)</f>
        <v>2076097.014470048</v>
      </c>
      <c r="H24" s="16">
        <f>(C24+($B$10*B24))*$B$9*$B$8</f>
        <v>1797744</v>
      </c>
      <c r="I24" s="16">
        <f>H24*VLOOKUP($A24,NPV!$B$3:$D$44,2,0)</f>
        <v>1496841.640511936</v>
      </c>
      <c r="J24" s="16">
        <f>D24*'Truck Diversion (No Build)- Dry'!$B$19</f>
        <v>94448.640000000014</v>
      </c>
      <c r="K24" s="16">
        <f>D24*'Truck Diversion (No Build)- Dry'!$B$19*VLOOKUP($A24,NPV!$B$3:$D$44,2,0)</f>
        <v>78640.038426895757</v>
      </c>
      <c r="L24" s="16">
        <f>SUM(F24,H24,J24)</f>
        <v>4385636.7360000005</v>
      </c>
      <c r="M24" s="16">
        <f>SUM(G24,I24,K24)</f>
        <v>3651578.6934088795</v>
      </c>
      <c r="N24" s="8"/>
      <c r="O24" s="16">
        <f>D24*$B$17</f>
        <v>568580.81279999996</v>
      </c>
      <c r="P24" s="16">
        <f>D24*$B$17*VLOOKUP($A24,NPV!$B$3:$D$44,3,0)</f>
        <v>504883.49022656446</v>
      </c>
      <c r="Q24" s="16">
        <f>D24*$B$16</f>
        <v>66114.04800000001</v>
      </c>
      <c r="R24" s="16">
        <f>D24*$B$16*VLOOKUP($A24,NPV!$B$3:$D$44,2,0)</f>
        <v>55048.026898827033</v>
      </c>
      <c r="S24" s="16">
        <f>SUM(O24,Q24)</f>
        <v>634694.86079999991</v>
      </c>
      <c r="T24" s="16">
        <f>SUM(P24,R24)</f>
        <v>559931.51712539152</v>
      </c>
      <c r="V24" s="16">
        <f>D24*$B$13</f>
        <v>445797.5808</v>
      </c>
      <c r="W24" s="16">
        <f>D24*$B$13*VLOOKUP($A24,NPV!$B$3:$D$44,2,0)</f>
        <v>371180.98137494794</v>
      </c>
      <c r="X24" s="16">
        <f>D24*$B$14</f>
        <v>41557.401599999997</v>
      </c>
      <c r="Y24" s="16">
        <f>D24*$B$14*VLOOKUP($A24,NPV!$B$3:$D$44,2,0)</f>
        <v>34601.616907834126</v>
      </c>
      <c r="Z24" s="16">
        <f>D24*$B$14</f>
        <v>41557.401599999997</v>
      </c>
      <c r="AA24" s="16">
        <f>D24*$B$15*VLOOKUP($A24,NPV!$B$3:$D$44,2,0)</f>
        <v>33028.816139296214</v>
      </c>
      <c r="AB24" s="16">
        <f>SUM(V24,X24,Z24)</f>
        <v>528912.38399999996</v>
      </c>
      <c r="AC24" s="16">
        <f>SUM(W24,Y24,AA24)</f>
        <v>438811.41442207829</v>
      </c>
      <c r="AE24" s="16">
        <f>SUM(L24,S24,AB24)</f>
        <v>5549243.9808</v>
      </c>
      <c r="AF24" s="16">
        <f>SUM(M24,T24,AC24)</f>
        <v>4650321.6249563489</v>
      </c>
      <c r="AI24" s="61"/>
      <c r="AJ24" s="61"/>
      <c r="AK24" s="61"/>
    </row>
    <row r="25" spans="1:37" x14ac:dyDescent="0.25">
      <c r="A25" s="5">
        <f>A24+1</f>
        <v>2029</v>
      </c>
      <c r="B25" s="10">
        <f t="shared" ref="B25:B43" si="0">$B$6*52</f>
        <v>13416</v>
      </c>
      <c r="C25" s="10">
        <f>B25*'Inputs &amp; Parameters'!$C$19/60</f>
        <v>49192</v>
      </c>
      <c r="D25" s="10">
        <f>B25*'Inputs &amp; Parameters'!$B$19</f>
        <v>1888972.8</v>
      </c>
      <c r="E25" s="9"/>
      <c r="F25" s="16">
        <f t="shared" ref="F25:F43" si="1">D25*$B$18</f>
        <v>2493444.0960000004</v>
      </c>
      <c r="G25" s="16">
        <f>D25*$B$18*VLOOKUP($A25,NPV!$B$3:$D$44,2,0)</f>
        <v>2013673.1469156628</v>
      </c>
      <c r="H25" s="16">
        <f t="shared" ref="H25:H43" si="2">(C25+($B$10*B25))*$B$9*$B$8</f>
        <v>1797744</v>
      </c>
      <c r="I25" s="16">
        <f>H25*VLOOKUP($A25,NPV!$B$3:$D$44,2,0)</f>
        <v>1451834.7628631778</v>
      </c>
      <c r="J25" s="16">
        <f>D25*'Truck Diversion (No Build)- Dry'!$B$19</f>
        <v>94448.640000000014</v>
      </c>
      <c r="K25" s="16">
        <f>D25*'Truck Diversion (No Build)- Dry'!$B$19*VLOOKUP($A25,NPV!$B$3:$D$44,2,0)</f>
        <v>76275.497989229654</v>
      </c>
      <c r="L25" s="16">
        <f t="shared" ref="L25:L43" si="3">SUM(F25,H25,J25)</f>
        <v>4385636.7360000005</v>
      </c>
      <c r="M25" s="16">
        <f t="shared" ref="M25:M43" si="4">SUM(G25,I25,K25)</f>
        <v>3541783.4077680707</v>
      </c>
      <c r="N25" s="8"/>
      <c r="O25" s="16">
        <f t="shared" ref="O25:O43" si="5">D25*$B$17</f>
        <v>568580.81279999996</v>
      </c>
      <c r="P25" s="16">
        <f>D25*$B$17*VLOOKUP($A25,NPV!$B$3:$D$44,3,0)</f>
        <v>494983.8139476123</v>
      </c>
      <c r="Q25" s="16">
        <f t="shared" ref="Q25:Q43" si="6">D25*$B$16</f>
        <v>66114.04800000001</v>
      </c>
      <c r="R25" s="16">
        <f>D25*$B$16*VLOOKUP($A25,NPV!$B$3:$D$44,2,0)</f>
        <v>53392.848592460759</v>
      </c>
      <c r="S25" s="16">
        <f t="shared" ref="S25:S43" si="7">SUM(O25,Q25)</f>
        <v>634694.86079999991</v>
      </c>
      <c r="T25" s="16">
        <f t="shared" ref="T25:T43" si="8">SUM(P25,R25)</f>
        <v>548376.66254007304</v>
      </c>
      <c r="V25" s="16">
        <f t="shared" ref="V25:V43" si="9">D25*$B$13</f>
        <v>445797.5808</v>
      </c>
      <c r="W25" s="16">
        <f>D25*$B$13*VLOOKUP($A25,NPV!$B$3:$D$44,2,0)</f>
        <v>360020.35050916392</v>
      </c>
      <c r="X25" s="16">
        <f t="shared" ref="X25:X43" si="10">D25*$B$14</f>
        <v>41557.401599999997</v>
      </c>
      <c r="Y25" s="16">
        <f>D25*$B$14*VLOOKUP($A25,NPV!$B$3:$D$44,2,0)</f>
        <v>33561.219115261039</v>
      </c>
      <c r="Z25" s="16">
        <f t="shared" ref="Z25:Z43" si="11">D25*$B$14</f>
        <v>41557.401599999997</v>
      </c>
      <c r="AA25" s="16">
        <f>D25*$B$15*VLOOKUP($A25,NPV!$B$3:$D$44,2,0)</f>
        <v>32035.709155476452</v>
      </c>
      <c r="AB25" s="16">
        <f t="shared" ref="AB25:AB43" si="12">SUM(V25,X25,Z25)</f>
        <v>528912.38399999996</v>
      </c>
      <c r="AC25" s="16">
        <f t="shared" ref="AC25:AC43" si="13">SUM(W25,Y25,AA25)</f>
        <v>425617.27877990145</v>
      </c>
      <c r="AE25" s="16">
        <f t="shared" ref="AE25:AE44" si="14">SUM(L25,S25,AB25)</f>
        <v>5549243.9808</v>
      </c>
      <c r="AF25" s="16">
        <f t="shared" ref="AF25:AF43" si="15">SUM(M25,T25,AC25)</f>
        <v>4515777.3490880448</v>
      </c>
      <c r="AI25" s="61"/>
      <c r="AJ25" s="61"/>
      <c r="AK25" s="61"/>
    </row>
    <row r="26" spans="1:37" x14ac:dyDescent="0.25">
      <c r="A26" s="5">
        <f t="shared" ref="A26:A43" si="16">A25+1</f>
        <v>2030</v>
      </c>
      <c r="B26" s="10">
        <f t="shared" si="0"/>
        <v>13416</v>
      </c>
      <c r="C26" s="10">
        <f>B26*'Inputs &amp; Parameters'!$C$19/60</f>
        <v>49192</v>
      </c>
      <c r="D26" s="10">
        <f>B26*'Inputs &amp; Parameters'!$B$19</f>
        <v>1888972.8</v>
      </c>
      <c r="E26" s="9"/>
      <c r="F26" s="16">
        <f t="shared" si="1"/>
        <v>2493444.0960000004</v>
      </c>
      <c r="G26" s="16">
        <f>D26*$B$18*VLOOKUP($A26,NPV!$B$3:$D$44,2,0)</f>
        <v>1953126.2336718359</v>
      </c>
      <c r="H26" s="16">
        <f t="shared" si="2"/>
        <v>1797744</v>
      </c>
      <c r="I26" s="16">
        <f>H26*VLOOKUP($A26,NPV!$B$3:$D$44,2,0)</f>
        <v>1408181.1472969716</v>
      </c>
      <c r="J26" s="16">
        <f>D26*'Truck Diversion (No Build)- Dry'!$B$19</f>
        <v>94448.640000000014</v>
      </c>
      <c r="K26" s="16">
        <f>D26*'Truck Diversion (No Build)- Dry'!$B$19*VLOOKUP($A26,NPV!$B$3:$D$44,2,0)</f>
        <v>73982.054305751357</v>
      </c>
      <c r="L26" s="16">
        <f t="shared" si="3"/>
        <v>4385636.7360000005</v>
      </c>
      <c r="M26" s="16">
        <f t="shared" si="4"/>
        <v>3435289.4352745586</v>
      </c>
      <c r="N26" s="8"/>
      <c r="O26" s="16">
        <f t="shared" si="5"/>
        <v>568580.81279999996</v>
      </c>
      <c r="P26" s="16">
        <f>D26*$B$17*VLOOKUP($A26,NPV!$B$3:$D$44,3,0)</f>
        <v>485278.24896824732</v>
      </c>
      <c r="Q26" s="16">
        <f t="shared" si="6"/>
        <v>66114.04800000001</v>
      </c>
      <c r="R26" s="16">
        <f>D26*$B$16*VLOOKUP($A26,NPV!$B$3:$D$44,2,0)</f>
        <v>51787.438014025953</v>
      </c>
      <c r="S26" s="16">
        <f t="shared" si="7"/>
        <v>634694.86079999991</v>
      </c>
      <c r="T26" s="16">
        <f t="shared" si="8"/>
        <v>537065.68698227324</v>
      </c>
      <c r="V26" s="16">
        <f t="shared" si="9"/>
        <v>445797.5808</v>
      </c>
      <c r="W26" s="16">
        <f>D26*$B$13*VLOOKUP($A26,NPV!$B$3:$D$44,2,0)</f>
        <v>349195.29632314638</v>
      </c>
      <c r="X26" s="16">
        <f t="shared" si="10"/>
        <v>41557.401599999997</v>
      </c>
      <c r="Y26" s="16">
        <f>D26*$B$14*VLOOKUP($A26,NPV!$B$3:$D$44,2,0)</f>
        <v>32552.103894530592</v>
      </c>
      <c r="Z26" s="16">
        <f t="shared" si="11"/>
        <v>41557.401599999997</v>
      </c>
      <c r="AA26" s="16">
        <f>D26*$B$15*VLOOKUP($A26,NPV!$B$3:$D$44,2,0)</f>
        <v>31072.46280841557</v>
      </c>
      <c r="AB26" s="16">
        <f t="shared" si="12"/>
        <v>528912.38399999996</v>
      </c>
      <c r="AC26" s="16">
        <f t="shared" si="13"/>
        <v>412819.86302609259</v>
      </c>
      <c r="AE26" s="16">
        <f t="shared" si="14"/>
        <v>5549243.9808</v>
      </c>
      <c r="AF26" s="16">
        <f t="shared" si="15"/>
        <v>4385174.985282924</v>
      </c>
      <c r="AI26" s="61"/>
      <c r="AJ26" s="61"/>
      <c r="AK26" s="61"/>
    </row>
    <row r="27" spans="1:37" x14ac:dyDescent="0.25">
      <c r="A27" s="5">
        <f t="shared" si="16"/>
        <v>2031</v>
      </c>
      <c r="B27" s="10">
        <f t="shared" si="0"/>
        <v>13416</v>
      </c>
      <c r="C27" s="10">
        <f>B27*'Inputs &amp; Parameters'!$C$19/60</f>
        <v>49192</v>
      </c>
      <c r="D27" s="10">
        <f>B27*'Inputs &amp; Parameters'!$B$19</f>
        <v>1888972.8</v>
      </c>
      <c r="E27" s="9"/>
      <c r="F27" s="16">
        <f t="shared" si="1"/>
        <v>2493444.0960000004</v>
      </c>
      <c r="G27" s="16">
        <f>D27*$B$18*VLOOKUP($A27,NPV!$B$3:$D$44,2,0)</f>
        <v>1894399.8386729739</v>
      </c>
      <c r="H27" s="16">
        <f t="shared" si="2"/>
        <v>1797744</v>
      </c>
      <c r="I27" s="16">
        <f>H27*VLOOKUP($A27,NPV!$B$3:$D$44,2,0)</f>
        <v>1365840.1040707778</v>
      </c>
      <c r="J27" s="16">
        <f>D27*'Truck Diversion (No Build)- Dry'!$B$19</f>
        <v>94448.640000000014</v>
      </c>
      <c r="K27" s="16">
        <f>D27*'Truck Diversion (No Build)- Dry'!$B$19*VLOOKUP($A27,NPV!$B$3:$D$44,2,0)</f>
        <v>71757.56964670356</v>
      </c>
      <c r="L27" s="16">
        <f t="shared" si="3"/>
        <v>4385636.7360000005</v>
      </c>
      <c r="M27" s="16">
        <f>SUM(G27,I27,K27)</f>
        <v>3331997.5123904552</v>
      </c>
      <c r="N27" s="8"/>
      <c r="O27" s="16">
        <f t="shared" si="5"/>
        <v>568580.81279999996</v>
      </c>
      <c r="P27" s="16">
        <f>D27*$B$17*VLOOKUP($A27,NPV!$B$3:$D$44,3,0)</f>
        <v>475762.98918455624</v>
      </c>
      <c r="Q27" s="16">
        <f t="shared" si="6"/>
        <v>66114.04800000001</v>
      </c>
      <c r="R27" s="16">
        <f>D27*$B$16*VLOOKUP($A27,NPV!$B$3:$D$44,2,0)</f>
        <v>50230.298752692492</v>
      </c>
      <c r="S27" s="16">
        <f t="shared" si="7"/>
        <v>634694.86079999991</v>
      </c>
      <c r="T27" s="16">
        <f t="shared" si="8"/>
        <v>525993.28793724871</v>
      </c>
      <c r="V27" s="16">
        <f t="shared" si="9"/>
        <v>445797.5808</v>
      </c>
      <c r="W27" s="16">
        <f>D27*$B$13*VLOOKUP($A27,NPV!$B$3:$D$44,2,0)</f>
        <v>338695.72873244074</v>
      </c>
      <c r="X27" s="16">
        <f t="shared" si="10"/>
        <v>41557.401599999997</v>
      </c>
      <c r="Y27" s="16">
        <f>D27*$B$14*VLOOKUP($A27,NPV!$B$3:$D$44,2,0)</f>
        <v>31573.330644549558</v>
      </c>
      <c r="Z27" s="16">
        <f t="shared" si="11"/>
        <v>41557.401599999997</v>
      </c>
      <c r="AA27" s="16">
        <f>D27*$B$15*VLOOKUP($A27,NPV!$B$3:$D$44,2,0)</f>
        <v>30138.179251615493</v>
      </c>
      <c r="AB27" s="16">
        <f t="shared" si="12"/>
        <v>528912.38399999996</v>
      </c>
      <c r="AC27" s="16">
        <f t="shared" si="13"/>
        <v>400407.23862860579</v>
      </c>
      <c r="AE27" s="16">
        <f t="shared" si="14"/>
        <v>5549243.9808</v>
      </c>
      <c r="AF27" s="16">
        <f t="shared" si="15"/>
        <v>4258398.0389563097</v>
      </c>
      <c r="AI27" s="61"/>
      <c r="AJ27" s="61"/>
      <c r="AK27" s="61"/>
    </row>
    <row r="28" spans="1:37" x14ac:dyDescent="0.25">
      <c r="A28" s="5">
        <f t="shared" si="16"/>
        <v>2032</v>
      </c>
      <c r="B28" s="10">
        <f t="shared" si="0"/>
        <v>13416</v>
      </c>
      <c r="C28" s="10">
        <f>B28*'Inputs &amp; Parameters'!$C$19/60</f>
        <v>49192</v>
      </c>
      <c r="D28" s="10">
        <f>B28*'Inputs &amp; Parameters'!$B$19</f>
        <v>1888972.8</v>
      </c>
      <c r="E28" s="9"/>
      <c r="F28" s="16">
        <f t="shared" si="1"/>
        <v>2493444.0960000004</v>
      </c>
      <c r="G28" s="16">
        <f>D28*$B$18*VLOOKUP($A28,NPV!$B$3:$D$44,2,0)</f>
        <v>1837439.2227671912</v>
      </c>
      <c r="H28" s="16">
        <f t="shared" si="2"/>
        <v>1797744</v>
      </c>
      <c r="I28" s="16">
        <f>H28*VLOOKUP($A28,NPV!$B$3:$D$44,2,0)</f>
        <v>1324772.1668969716</v>
      </c>
      <c r="J28" s="16">
        <f>D28*'Truck Diversion (No Build)- Dry'!$B$19</f>
        <v>94448.640000000014</v>
      </c>
      <c r="K28" s="16">
        <f>D28*'Truck Diversion (No Build)- Dry'!$B$19*VLOOKUP($A28,NPV!$B$3:$D$44,2,0)</f>
        <v>69599.970559363297</v>
      </c>
      <c r="L28" s="16">
        <f t="shared" si="3"/>
        <v>4385636.7360000005</v>
      </c>
      <c r="M28" s="16">
        <f t="shared" si="4"/>
        <v>3231811.3602235261</v>
      </c>
      <c r="N28" s="8"/>
      <c r="O28" s="16">
        <f t="shared" si="5"/>
        <v>568580.81279999996</v>
      </c>
      <c r="P28" s="16">
        <f>D28*$B$17*VLOOKUP($A28,NPV!$B$3:$D$44,3,0)</f>
        <v>466434.30312211392</v>
      </c>
      <c r="Q28" s="16">
        <f t="shared" si="6"/>
        <v>66114.04800000001</v>
      </c>
      <c r="R28" s="16">
        <f>D28*$B$16*VLOOKUP($A28,NPV!$B$3:$D$44,2,0)</f>
        <v>48719.979391554312</v>
      </c>
      <c r="S28" s="16">
        <f t="shared" si="7"/>
        <v>634694.86079999991</v>
      </c>
      <c r="T28" s="16">
        <f t="shared" si="8"/>
        <v>515154.28251366824</v>
      </c>
      <c r="V28" s="16">
        <f t="shared" si="9"/>
        <v>445797.5808</v>
      </c>
      <c r="W28" s="16">
        <f>D28*$B$13*VLOOKUP($A28,NPV!$B$3:$D$44,2,0)</f>
        <v>328511.86104019475</v>
      </c>
      <c r="X28" s="16">
        <f t="shared" si="10"/>
        <v>41557.401599999997</v>
      </c>
      <c r="Y28" s="16">
        <f>D28*$B$14*VLOOKUP($A28,NPV!$B$3:$D$44,2,0)</f>
        <v>30623.987046119848</v>
      </c>
      <c r="Z28" s="16">
        <f t="shared" si="11"/>
        <v>41557.401599999997</v>
      </c>
      <c r="AA28" s="16">
        <f>D28*$B$15*VLOOKUP($A28,NPV!$B$3:$D$44,2,0)</f>
        <v>29231.987634932582</v>
      </c>
      <c r="AB28" s="16">
        <f t="shared" si="12"/>
        <v>528912.38399999996</v>
      </c>
      <c r="AC28" s="16">
        <f t="shared" si="13"/>
        <v>388367.83572124719</v>
      </c>
      <c r="AE28" s="16">
        <f t="shared" si="14"/>
        <v>5549243.9808</v>
      </c>
      <c r="AF28" s="16">
        <f t="shared" si="15"/>
        <v>4135333.4784584418</v>
      </c>
      <c r="AI28" s="61"/>
      <c r="AJ28" s="61"/>
      <c r="AK28" s="61"/>
    </row>
    <row r="29" spans="1:37" x14ac:dyDescent="0.25">
      <c r="A29" s="5">
        <f t="shared" si="16"/>
        <v>2033</v>
      </c>
      <c r="B29" s="10">
        <f t="shared" si="0"/>
        <v>13416</v>
      </c>
      <c r="C29" s="10">
        <f>B29*'Inputs &amp; Parameters'!$C$19/60</f>
        <v>49192</v>
      </c>
      <c r="D29" s="10">
        <f>B29*'Inputs &amp; Parameters'!$B$19</f>
        <v>1888972.8</v>
      </c>
      <c r="E29" s="9"/>
      <c r="F29" s="16">
        <f t="shared" si="1"/>
        <v>2493444.0960000004</v>
      </c>
      <c r="G29" s="16">
        <f>D29*$B$18*VLOOKUP($A29,NPV!$B$3:$D$44,2,0)</f>
        <v>1782191.2926936871</v>
      </c>
      <c r="H29" s="16">
        <f t="shared" si="2"/>
        <v>1797744</v>
      </c>
      <c r="I29" s="16">
        <f>H29*VLOOKUP($A29,NPV!$B$3:$D$44,2,0)</f>
        <v>1284939.0561561319</v>
      </c>
      <c r="J29" s="16">
        <f>D29*'Truck Diversion (No Build)- Dry'!$B$19</f>
        <v>94448.640000000014</v>
      </c>
      <c r="K29" s="16">
        <f>D29*'Truck Diversion (No Build)- Dry'!$B$19*VLOOKUP($A29,NPV!$B$3:$D$44,2,0)</f>
        <v>67507.24593536694</v>
      </c>
      <c r="L29" s="16">
        <f t="shared" si="3"/>
        <v>4385636.7360000005</v>
      </c>
      <c r="M29" s="16">
        <f t="shared" si="4"/>
        <v>3134637.594785186</v>
      </c>
      <c r="N29" s="8"/>
      <c r="O29" s="16">
        <f t="shared" si="5"/>
        <v>568580.81279999996</v>
      </c>
      <c r="P29" s="16">
        <f>D29*$B$17*VLOOKUP($A29,NPV!$B$3:$D$44,3,0)</f>
        <v>457288.53247266077</v>
      </c>
      <c r="Q29" s="16">
        <f t="shared" si="6"/>
        <v>66114.04800000001</v>
      </c>
      <c r="R29" s="16">
        <f>D29*$B$16*VLOOKUP($A29,NPV!$B$3:$D$44,2,0)</f>
        <v>47255.072154756854</v>
      </c>
      <c r="S29" s="16">
        <f t="shared" si="7"/>
        <v>634694.86079999991</v>
      </c>
      <c r="T29" s="16">
        <f t="shared" si="8"/>
        <v>504543.60462741763</v>
      </c>
      <c r="V29" s="16">
        <f t="shared" si="9"/>
        <v>445797.5808</v>
      </c>
      <c r="W29" s="16">
        <f>D29*$B$13*VLOOKUP($A29,NPV!$B$3:$D$44,2,0)</f>
        <v>318634.20081493189</v>
      </c>
      <c r="X29" s="16">
        <f t="shared" si="10"/>
        <v>41557.401599999997</v>
      </c>
      <c r="Y29" s="16">
        <f>D29*$B$14*VLOOKUP($A29,NPV!$B$3:$D$44,2,0)</f>
        <v>29703.188211561446</v>
      </c>
      <c r="Z29" s="16">
        <f t="shared" si="11"/>
        <v>41557.401599999997</v>
      </c>
      <c r="AA29" s="16">
        <f>D29*$B$15*VLOOKUP($A29,NPV!$B$3:$D$44,2,0)</f>
        <v>28353.043292854109</v>
      </c>
      <c r="AB29" s="16">
        <f t="shared" si="12"/>
        <v>528912.38399999996</v>
      </c>
      <c r="AC29" s="16">
        <f t="shared" si="13"/>
        <v>376690.43231934746</v>
      </c>
      <c r="AE29" s="16">
        <f t="shared" si="14"/>
        <v>5549243.9808</v>
      </c>
      <c r="AF29" s="16">
        <f t="shared" si="15"/>
        <v>4015871.6317319511</v>
      </c>
      <c r="AI29" s="61"/>
      <c r="AJ29" s="61"/>
      <c r="AK29" s="61"/>
    </row>
    <row r="30" spans="1:37" x14ac:dyDescent="0.25">
      <c r="A30" s="5">
        <f t="shared" si="16"/>
        <v>2034</v>
      </c>
      <c r="B30" s="10">
        <f t="shared" si="0"/>
        <v>13416</v>
      </c>
      <c r="C30" s="10">
        <f>B30*'Inputs &amp; Parameters'!$C$19/60</f>
        <v>49192</v>
      </c>
      <c r="D30" s="10">
        <f>B30*'Inputs &amp; Parameters'!$B$19</f>
        <v>1888972.8</v>
      </c>
      <c r="E30" s="9"/>
      <c r="F30" s="16">
        <f t="shared" si="1"/>
        <v>2493444.0960000004</v>
      </c>
      <c r="G30" s="16">
        <f>D30*$B$18*VLOOKUP($A30,NPV!$B$3:$D$44,2,0)</f>
        <v>1728604.5515942648</v>
      </c>
      <c r="H30" s="16">
        <f t="shared" si="2"/>
        <v>1797744</v>
      </c>
      <c r="I30" s="16">
        <f>H30*VLOOKUP($A30,NPV!$B$3:$D$44,2,0)</f>
        <v>1246303.6432164228</v>
      </c>
      <c r="J30" s="16">
        <f>D30*'Truck Diversion (No Build)- Dry'!$B$19</f>
        <v>94448.640000000014</v>
      </c>
      <c r="K30" s="16">
        <f>D30*'Truck Diversion (No Build)- Dry'!$B$19*VLOOKUP($A30,NPV!$B$3:$D$44,2,0)</f>
        <v>65477.445136146394</v>
      </c>
      <c r="L30" s="16">
        <f t="shared" si="3"/>
        <v>4385636.7360000005</v>
      </c>
      <c r="M30" s="16">
        <f t="shared" si="4"/>
        <v>3040385.6399468342</v>
      </c>
      <c r="N30" s="8"/>
      <c r="O30" s="16">
        <f t="shared" si="5"/>
        <v>568580.81279999996</v>
      </c>
      <c r="P30" s="16">
        <f>D30*$B$17*VLOOKUP($A30,NPV!$B$3:$D$44,3,0)</f>
        <v>448322.09065947129</v>
      </c>
      <c r="Q30" s="16">
        <f t="shared" si="6"/>
        <v>66114.04800000001</v>
      </c>
      <c r="R30" s="16">
        <f>D30*$B$16*VLOOKUP($A30,NPV!$B$3:$D$44,2,0)</f>
        <v>45834.211595302477</v>
      </c>
      <c r="S30" s="16">
        <f t="shared" si="7"/>
        <v>634694.86079999991</v>
      </c>
      <c r="T30" s="16">
        <f t="shared" si="8"/>
        <v>494156.30225477379</v>
      </c>
      <c r="V30" s="16">
        <f t="shared" si="9"/>
        <v>445797.5808</v>
      </c>
      <c r="W30" s="16">
        <f>D30*$B$13*VLOOKUP($A30,NPV!$B$3:$D$44,2,0)</f>
        <v>309053.54104261094</v>
      </c>
      <c r="X30" s="16">
        <f t="shared" si="10"/>
        <v>41557.401599999997</v>
      </c>
      <c r="Y30" s="16">
        <f>D30*$B$14*VLOOKUP($A30,NPV!$B$3:$D$44,2,0)</f>
        <v>28810.075859904406</v>
      </c>
      <c r="Z30" s="16">
        <f t="shared" si="11"/>
        <v>41557.401599999997</v>
      </c>
      <c r="AA30" s="16">
        <f>D30*$B$15*VLOOKUP($A30,NPV!$B$3:$D$44,2,0)</f>
        <v>27500.526957181482</v>
      </c>
      <c r="AB30" s="16">
        <f t="shared" si="12"/>
        <v>528912.38399999996</v>
      </c>
      <c r="AC30" s="16">
        <f t="shared" si="13"/>
        <v>365364.14385969681</v>
      </c>
      <c r="AE30" s="16">
        <f t="shared" si="14"/>
        <v>5549243.9808</v>
      </c>
      <c r="AF30" s="16">
        <f t="shared" si="15"/>
        <v>3899906.0860613044</v>
      </c>
      <c r="AI30" s="61"/>
      <c r="AJ30" s="61"/>
      <c r="AK30" s="61"/>
    </row>
    <row r="31" spans="1:37" x14ac:dyDescent="0.25">
      <c r="A31" s="5">
        <f t="shared" si="16"/>
        <v>2035</v>
      </c>
      <c r="B31" s="10">
        <f t="shared" si="0"/>
        <v>13416</v>
      </c>
      <c r="C31" s="10">
        <f>B31*'Inputs &amp; Parameters'!$C$19/60</f>
        <v>49192</v>
      </c>
      <c r="D31" s="10">
        <f>B31*'Inputs &amp; Parameters'!$B$19</f>
        <v>1888972.8</v>
      </c>
      <c r="E31" s="9"/>
      <c r="F31" s="16">
        <f t="shared" si="1"/>
        <v>2493444.0960000004</v>
      </c>
      <c r="G31" s="16">
        <f>D31*$B$18*VLOOKUP($A31,NPV!$B$3:$D$44,2,0)</f>
        <v>1676629.051012866</v>
      </c>
      <c r="H31" s="16">
        <f t="shared" si="2"/>
        <v>1797744</v>
      </c>
      <c r="I31" s="16">
        <f>H31*VLOOKUP($A31,NPV!$B$3:$D$44,2,0)</f>
        <v>1208829.9158258222</v>
      </c>
      <c r="J31" s="16">
        <f>D31*'Truck Diversion (No Build)- Dry'!$B$19</f>
        <v>94448.640000000014</v>
      </c>
      <c r="K31" s="16">
        <f>D31*'Truck Diversion (No Build)- Dry'!$B$19*VLOOKUP($A31,NPV!$B$3:$D$44,2,0)</f>
        <v>63508.676174729771</v>
      </c>
      <c r="L31" s="16">
        <f t="shared" si="3"/>
        <v>4385636.7360000005</v>
      </c>
      <c r="M31" s="16">
        <f t="shared" si="4"/>
        <v>2948967.6430134177</v>
      </c>
      <c r="N31" s="8"/>
      <c r="O31" s="16">
        <f t="shared" si="5"/>
        <v>568580.81279999996</v>
      </c>
      <c r="P31" s="16">
        <f>D31*$B$17*VLOOKUP($A31,NPV!$B$3:$D$44,3,0)</f>
        <v>439531.46143085422</v>
      </c>
      <c r="Q31" s="16">
        <f t="shared" si="6"/>
        <v>66114.04800000001</v>
      </c>
      <c r="R31" s="16">
        <f>D31*$B$16*VLOOKUP($A31,NPV!$B$3:$D$44,2,0)</f>
        <v>44456.07332231084</v>
      </c>
      <c r="S31" s="16">
        <f t="shared" si="7"/>
        <v>634694.86079999991</v>
      </c>
      <c r="T31" s="16">
        <f t="shared" si="8"/>
        <v>483987.53475316509</v>
      </c>
      <c r="V31" s="16">
        <f t="shared" si="9"/>
        <v>445797.5808</v>
      </c>
      <c r="W31" s="16">
        <f>D31*$B$13*VLOOKUP($A31,NPV!$B$3:$D$44,2,0)</f>
        <v>299760.95154472446</v>
      </c>
      <c r="X31" s="16">
        <f t="shared" si="10"/>
        <v>41557.401599999997</v>
      </c>
      <c r="Y31" s="16">
        <f>D31*$B$14*VLOOKUP($A31,NPV!$B$3:$D$44,2,0)</f>
        <v>27943.817516881096</v>
      </c>
      <c r="Z31" s="16">
        <f t="shared" si="11"/>
        <v>41557.401599999997</v>
      </c>
      <c r="AA31" s="16">
        <f>D31*$B$15*VLOOKUP($A31,NPV!$B$3:$D$44,2,0)</f>
        <v>26673.6439933865</v>
      </c>
      <c r="AB31" s="16">
        <f t="shared" si="12"/>
        <v>528912.38399999996</v>
      </c>
      <c r="AC31" s="16">
        <f t="shared" si="13"/>
        <v>354378.41305499204</v>
      </c>
      <c r="AE31" s="16">
        <f t="shared" si="14"/>
        <v>5549243.9808</v>
      </c>
      <c r="AF31" s="16">
        <f t="shared" si="15"/>
        <v>3787333.5908215749</v>
      </c>
      <c r="AI31" s="61"/>
      <c r="AJ31" s="61"/>
      <c r="AK31" s="61"/>
    </row>
    <row r="32" spans="1:37" x14ac:dyDescent="0.25">
      <c r="A32" s="5">
        <f t="shared" si="16"/>
        <v>2036</v>
      </c>
      <c r="B32" s="10">
        <f t="shared" si="0"/>
        <v>13416</v>
      </c>
      <c r="C32" s="10">
        <f>B32*'Inputs &amp; Parameters'!$C$19/60</f>
        <v>49192</v>
      </c>
      <c r="D32" s="10">
        <f>B32*'Inputs &amp; Parameters'!$B$19</f>
        <v>1888972.8</v>
      </c>
      <c r="E32" s="9"/>
      <c r="F32" s="16">
        <f t="shared" si="1"/>
        <v>2493444.0960000004</v>
      </c>
      <c r="G32" s="16">
        <f>D32*$B$18*VLOOKUP($A32,NPV!$B$3:$D$44,2,0)</f>
        <v>1626216.3443383765</v>
      </c>
      <c r="H32" s="16">
        <f t="shared" si="2"/>
        <v>1797744</v>
      </c>
      <c r="I32" s="16">
        <f>H32*VLOOKUP($A32,NPV!$B$3:$D$44,2,0)</f>
        <v>1172482.9445449295</v>
      </c>
      <c r="J32" s="16">
        <f>D32*'Truck Diversion (No Build)- Dry'!$B$19</f>
        <v>94448.640000000014</v>
      </c>
      <c r="K32" s="16">
        <f>D32*'Truck Diversion (No Build)- Dry'!$B$19*VLOOKUP($A32,NPV!$B$3:$D$44,2,0)</f>
        <v>61599.103952211233</v>
      </c>
      <c r="L32" s="16">
        <f t="shared" si="3"/>
        <v>4385636.7360000005</v>
      </c>
      <c r="M32" s="16">
        <f t="shared" si="4"/>
        <v>2860298.3928355174</v>
      </c>
      <c r="N32" s="8"/>
      <c r="O32" s="16">
        <f t="shared" si="5"/>
        <v>568580.81279999996</v>
      </c>
      <c r="P32" s="16">
        <f>D32*$B$17*VLOOKUP($A32,NPV!$B$3:$D$44,3,0)</f>
        <v>430913.19748122961</v>
      </c>
      <c r="Q32" s="16">
        <f t="shared" si="6"/>
        <v>66114.04800000001</v>
      </c>
      <c r="R32" s="16">
        <f>D32*$B$16*VLOOKUP($A32,NPV!$B$3:$D$44,2,0)</f>
        <v>43119.372766547865</v>
      </c>
      <c r="S32" s="16">
        <f t="shared" si="7"/>
        <v>634694.86079999991</v>
      </c>
      <c r="T32" s="16">
        <f t="shared" si="8"/>
        <v>474032.5702477775</v>
      </c>
      <c r="V32" s="16">
        <f t="shared" si="9"/>
        <v>445797.5808</v>
      </c>
      <c r="W32" s="16">
        <f>D32*$B$13*VLOOKUP($A32,NPV!$B$3:$D$44,2,0)</f>
        <v>290747.77065443702</v>
      </c>
      <c r="X32" s="16">
        <f t="shared" si="10"/>
        <v>41557.401599999997</v>
      </c>
      <c r="Y32" s="16">
        <f>D32*$B$14*VLOOKUP($A32,NPV!$B$3:$D$44,2,0)</f>
        <v>27103.605738972939</v>
      </c>
      <c r="Z32" s="16">
        <f t="shared" si="11"/>
        <v>41557.401599999997</v>
      </c>
      <c r="AA32" s="16">
        <f>D32*$B$15*VLOOKUP($A32,NPV!$B$3:$D$44,2,0)</f>
        <v>25871.623659928715</v>
      </c>
      <c r="AB32" s="16">
        <f t="shared" si="12"/>
        <v>528912.38399999996</v>
      </c>
      <c r="AC32" s="16">
        <f t="shared" si="13"/>
        <v>343723.00005333871</v>
      </c>
      <c r="AE32" s="16">
        <f t="shared" si="14"/>
        <v>5549243.9808</v>
      </c>
      <c r="AF32" s="16">
        <f>SUM(M32,T32,AC32)</f>
        <v>3678053.9631366339</v>
      </c>
      <c r="AI32" s="61"/>
      <c r="AJ32" s="61"/>
      <c r="AK32" s="61"/>
    </row>
    <row r="33" spans="1:37" x14ac:dyDescent="0.25">
      <c r="A33" s="5">
        <f t="shared" si="16"/>
        <v>2037</v>
      </c>
      <c r="B33" s="10">
        <f t="shared" si="0"/>
        <v>13416</v>
      </c>
      <c r="C33" s="10">
        <f>B33*'Inputs &amp; Parameters'!$C$19/60</f>
        <v>49192</v>
      </c>
      <c r="D33" s="10">
        <f>B33*'Inputs &amp; Parameters'!$B$19</f>
        <v>1888972.8</v>
      </c>
      <c r="E33" s="9"/>
      <c r="F33" s="16">
        <f t="shared" si="1"/>
        <v>2493444.0960000004</v>
      </c>
      <c r="G33" s="16">
        <f>D33*$B$18*VLOOKUP($A33,NPV!$B$3:$D$44,2,0)</f>
        <v>1577319.44164731</v>
      </c>
      <c r="H33" s="16">
        <f t="shared" si="2"/>
        <v>1797744</v>
      </c>
      <c r="I33" s="16">
        <f>H33*VLOOKUP($A33,NPV!$B$3:$D$44,2,0)</f>
        <v>1137228.8501890686</v>
      </c>
      <c r="J33" s="16">
        <f>D33*'Truck Diversion (No Build)- Dry'!$B$19</f>
        <v>94448.640000000014</v>
      </c>
      <c r="K33" s="16">
        <f>D33*'Truck Diversion (No Build)- Dry'!$B$19*VLOOKUP($A33,NPV!$B$3:$D$44,2,0)</f>
        <v>59746.948547246597</v>
      </c>
      <c r="L33" s="16">
        <f t="shared" si="3"/>
        <v>4385636.7360000005</v>
      </c>
      <c r="M33" s="16">
        <f t="shared" si="4"/>
        <v>2774295.240383625</v>
      </c>
      <c r="N33" s="8"/>
      <c r="O33" s="16">
        <f t="shared" si="5"/>
        <v>568580.81279999996</v>
      </c>
      <c r="P33" s="16">
        <f>D33*$B$17*VLOOKUP($A33,NPV!$B$3:$D$44,3,0)</f>
        <v>422463.91909924475</v>
      </c>
      <c r="Q33" s="16">
        <f t="shared" si="6"/>
        <v>66114.04800000001</v>
      </c>
      <c r="R33" s="16">
        <f>D33*$B$16*VLOOKUP($A33,NPV!$B$3:$D$44,2,0)</f>
        <v>41822.863983072617</v>
      </c>
      <c r="S33" s="16">
        <f t="shared" si="7"/>
        <v>634694.86079999991</v>
      </c>
      <c r="T33" s="16">
        <f t="shared" si="8"/>
        <v>464286.78308231739</v>
      </c>
      <c r="V33" s="16">
        <f t="shared" si="9"/>
        <v>445797.5808</v>
      </c>
      <c r="W33" s="16">
        <f>D33*$B$13*VLOOKUP($A33,NPV!$B$3:$D$44,2,0)</f>
        <v>282005.59714300389</v>
      </c>
      <c r="X33" s="16">
        <f t="shared" si="10"/>
        <v>41557.401599999997</v>
      </c>
      <c r="Y33" s="16">
        <f>D33*$B$14*VLOOKUP($A33,NPV!$B$3:$D$44,2,0)</f>
        <v>26288.657360788497</v>
      </c>
      <c r="Z33" s="16">
        <f t="shared" si="11"/>
        <v>41557.401599999997</v>
      </c>
      <c r="AA33" s="16">
        <f>D33*$B$15*VLOOKUP($A33,NPV!$B$3:$D$44,2,0)</f>
        <v>25093.718389843569</v>
      </c>
      <c r="AB33" s="16">
        <f t="shared" si="12"/>
        <v>528912.38399999996</v>
      </c>
      <c r="AC33" s="16">
        <f>SUM(W33,Y33,AA33)</f>
        <v>333387.97289363598</v>
      </c>
      <c r="AE33" s="16">
        <f t="shared" si="14"/>
        <v>5549243.9808</v>
      </c>
      <c r="AF33" s="16">
        <f t="shared" si="15"/>
        <v>3571969.9963595783</v>
      </c>
      <c r="AI33" s="61"/>
      <c r="AJ33" s="61"/>
      <c r="AK33" s="61"/>
    </row>
    <row r="34" spans="1:37" x14ac:dyDescent="0.25">
      <c r="A34" s="5">
        <f t="shared" si="16"/>
        <v>2038</v>
      </c>
      <c r="B34" s="10">
        <f t="shared" si="0"/>
        <v>13416</v>
      </c>
      <c r="C34" s="10">
        <f>B34*'Inputs &amp; Parameters'!$C$19/60</f>
        <v>49192</v>
      </c>
      <c r="D34" s="10">
        <f>B34*'Inputs &amp; Parameters'!$B$19</f>
        <v>1888972.8</v>
      </c>
      <c r="E34" s="9"/>
      <c r="F34" s="16">
        <f t="shared" si="1"/>
        <v>2493444.0960000004</v>
      </c>
      <c r="G34" s="16">
        <f>D34*$B$18*VLOOKUP($A34,NPV!$B$3:$D$44,2,0)</f>
        <v>1529892.7659042773</v>
      </c>
      <c r="H34" s="16">
        <f t="shared" si="2"/>
        <v>1797744</v>
      </c>
      <c r="I34" s="16">
        <f>H34*VLOOKUP($A34,NPV!$B$3:$D$44,2,0)</f>
        <v>1103034.7722493389</v>
      </c>
      <c r="J34" s="16">
        <f>D34*'Truck Diversion (No Build)- Dry'!$B$19</f>
        <v>94448.640000000014</v>
      </c>
      <c r="K34" s="16">
        <f>D34*'Truck Diversion (No Build)- Dry'!$B$19*VLOOKUP($A34,NPV!$B$3:$D$44,2,0)</f>
        <v>57950.483556980202</v>
      </c>
      <c r="L34" s="16">
        <f t="shared" si="3"/>
        <v>4385636.7360000005</v>
      </c>
      <c r="M34" s="16">
        <f t="shared" si="4"/>
        <v>2690878.0217105965</v>
      </c>
      <c r="N34" s="8"/>
      <c r="O34" s="16">
        <f t="shared" si="5"/>
        <v>568580.81279999996</v>
      </c>
      <c r="P34" s="16">
        <f>D34*$B$17*VLOOKUP($A34,NPV!$B$3:$D$44,3,0)</f>
        <v>414180.31284239679</v>
      </c>
      <c r="Q34" s="16">
        <f t="shared" si="6"/>
        <v>66114.04800000001</v>
      </c>
      <c r="R34" s="16">
        <f>D34*$B$16*VLOOKUP($A34,NPV!$B$3:$D$44,2,0)</f>
        <v>40565.33848988614</v>
      </c>
      <c r="S34" s="16">
        <f t="shared" si="7"/>
        <v>634694.86079999991</v>
      </c>
      <c r="T34" s="16">
        <f t="shared" si="8"/>
        <v>454745.65133228293</v>
      </c>
      <c r="V34" s="16">
        <f t="shared" si="9"/>
        <v>445797.5808</v>
      </c>
      <c r="W34" s="16">
        <f>D34*$B$13*VLOOKUP($A34,NPV!$B$3:$D$44,2,0)</f>
        <v>273526.28238894651</v>
      </c>
      <c r="X34" s="16">
        <f t="shared" si="10"/>
        <v>41557.401599999997</v>
      </c>
      <c r="Y34" s="16">
        <f>D34*$B$14*VLOOKUP($A34,NPV!$B$3:$D$44,2,0)</f>
        <v>25498.212765071283</v>
      </c>
      <c r="Z34" s="16">
        <f t="shared" si="11"/>
        <v>41557.401599999997</v>
      </c>
      <c r="AA34" s="16">
        <f>D34*$B$15*VLOOKUP($A34,NPV!$B$3:$D$44,2,0)</f>
        <v>24339.203093931683</v>
      </c>
      <c r="AB34" s="16">
        <f t="shared" si="12"/>
        <v>528912.38399999996</v>
      </c>
      <c r="AC34" s="16">
        <f t="shared" si="13"/>
        <v>323363.69824794948</v>
      </c>
      <c r="AE34" s="16">
        <f t="shared" si="14"/>
        <v>5549243.9808</v>
      </c>
      <c r="AF34" s="16">
        <f t="shared" si="15"/>
        <v>3468987.371290829</v>
      </c>
      <c r="AI34" s="61"/>
      <c r="AJ34" s="61"/>
      <c r="AK34" s="61"/>
    </row>
    <row r="35" spans="1:37" x14ac:dyDescent="0.25">
      <c r="A35" s="5">
        <f t="shared" si="16"/>
        <v>2039</v>
      </c>
      <c r="B35" s="10">
        <f t="shared" si="0"/>
        <v>13416</v>
      </c>
      <c r="C35" s="10">
        <f>B35*'Inputs &amp; Parameters'!$C$19/60</f>
        <v>49192</v>
      </c>
      <c r="D35" s="10">
        <f>B35*'Inputs &amp; Parameters'!$B$19</f>
        <v>1888972.8</v>
      </c>
      <c r="E35" s="9"/>
      <c r="F35" s="16">
        <f t="shared" si="1"/>
        <v>2493444.0960000004</v>
      </c>
      <c r="G35" s="16">
        <f>D35*$B$18*VLOOKUP($A35,NPV!$B$3:$D$44,2,0)</f>
        <v>1483892.1104794154</v>
      </c>
      <c r="H35" s="16">
        <f t="shared" si="2"/>
        <v>1797744</v>
      </c>
      <c r="I35" s="16">
        <f>H35*VLOOKUP($A35,NPV!$B$3:$D$44,2,0)</f>
        <v>1069868.8382631803</v>
      </c>
      <c r="J35" s="16">
        <f>D35*'Truck Diversion (No Build)- Dry'!$B$19</f>
        <v>94448.640000000014</v>
      </c>
      <c r="K35" s="16">
        <f>D35*'Truck Diversion (No Build)- Dry'!$B$19*VLOOKUP($A35,NPV!$B$3:$D$44,2,0)</f>
        <v>56208.034487856647</v>
      </c>
      <c r="L35" s="16">
        <f t="shared" si="3"/>
        <v>4385636.7360000005</v>
      </c>
      <c r="M35" s="16">
        <f t="shared" si="4"/>
        <v>2609968.9832304521</v>
      </c>
      <c r="N35" s="8"/>
      <c r="O35" s="16">
        <f t="shared" si="5"/>
        <v>568580.81279999996</v>
      </c>
      <c r="P35" s="16">
        <f>D35*$B$17*VLOOKUP($A35,NPV!$B$3:$D$44,3,0)</f>
        <v>406059.1302376439</v>
      </c>
      <c r="Q35" s="16">
        <f t="shared" si="6"/>
        <v>66114.04800000001</v>
      </c>
      <c r="R35" s="16">
        <f>D35*$B$16*VLOOKUP($A35,NPV!$B$3:$D$44,2,0)</f>
        <v>39345.624141499655</v>
      </c>
      <c r="S35" s="16">
        <f t="shared" si="7"/>
        <v>634694.86079999991</v>
      </c>
      <c r="T35" s="16">
        <f t="shared" si="8"/>
        <v>445404.75437914353</v>
      </c>
      <c r="V35" s="16">
        <f t="shared" si="9"/>
        <v>445797.5808</v>
      </c>
      <c r="W35" s="16">
        <f>D35*$B$13*VLOOKUP($A35,NPV!$B$3:$D$44,2,0)</f>
        <v>265301.92278268334</v>
      </c>
      <c r="X35" s="16">
        <f t="shared" si="10"/>
        <v>41557.401599999997</v>
      </c>
      <c r="Y35" s="16">
        <f>D35*$B$14*VLOOKUP($A35,NPV!$B$3:$D$44,2,0)</f>
        <v>24731.535174656918</v>
      </c>
      <c r="Z35" s="16">
        <f t="shared" si="11"/>
        <v>41557.401599999997</v>
      </c>
      <c r="AA35" s="16">
        <f>D35*$B$15*VLOOKUP($A35,NPV!$B$3:$D$44,2,0)</f>
        <v>23607.374484899789</v>
      </c>
      <c r="AB35" s="16">
        <f t="shared" si="12"/>
        <v>528912.38399999996</v>
      </c>
      <c r="AC35" s="16">
        <f t="shared" si="13"/>
        <v>313640.83244224003</v>
      </c>
      <c r="AE35" s="16">
        <f t="shared" si="14"/>
        <v>5549243.9808</v>
      </c>
      <c r="AF35" s="16">
        <f t="shared" si="15"/>
        <v>3369014.5700518354</v>
      </c>
      <c r="AI35" s="61"/>
      <c r="AJ35" s="61"/>
      <c r="AK35" s="61"/>
    </row>
    <row r="36" spans="1:37" x14ac:dyDescent="0.25">
      <c r="A36" s="5">
        <f t="shared" si="16"/>
        <v>2040</v>
      </c>
      <c r="B36" s="10">
        <f t="shared" si="0"/>
        <v>13416</v>
      </c>
      <c r="C36" s="10">
        <f>B36*'Inputs &amp; Parameters'!$C$19/60</f>
        <v>49192</v>
      </c>
      <c r="D36" s="10">
        <f>B36*'Inputs &amp; Parameters'!$B$19</f>
        <v>1888972.8</v>
      </c>
      <c r="E36" s="9"/>
      <c r="F36" s="16">
        <f t="shared" si="1"/>
        <v>2493444.0960000004</v>
      </c>
      <c r="G36" s="16">
        <f>D36*$B$18*VLOOKUP($A36,NPV!$B$3:$D$44,2,0)</f>
        <v>1439274.5979431772</v>
      </c>
      <c r="H36" s="16">
        <f t="shared" si="2"/>
        <v>1797744</v>
      </c>
      <c r="I36" s="16">
        <f>H36*VLOOKUP($A36,NPV!$B$3:$D$44,2,0)</f>
        <v>1037700.1341058976</v>
      </c>
      <c r="J36" s="16">
        <f>D36*'Truck Diversion (No Build)- Dry'!$B$19</f>
        <v>94448.640000000014</v>
      </c>
      <c r="K36" s="16">
        <f>D36*'Truck Diversion (No Build)- Dry'!$B$19*VLOOKUP($A36,NPV!$B$3:$D$44,2,0)</f>
        <v>54517.977194817322</v>
      </c>
      <c r="L36" s="16">
        <f t="shared" si="3"/>
        <v>4385636.7360000005</v>
      </c>
      <c r="M36" s="16">
        <f t="shared" si="4"/>
        <v>2531492.7092438922</v>
      </c>
      <c r="N36" s="8"/>
      <c r="O36" s="16">
        <f t="shared" si="5"/>
        <v>568580.81279999996</v>
      </c>
      <c r="P36" s="16">
        <f>D36*$B$17*VLOOKUP($A36,NPV!$B$3:$D$44,3,0)</f>
        <v>398097.18650749401</v>
      </c>
      <c r="Q36" s="16">
        <f t="shared" si="6"/>
        <v>66114.04800000001</v>
      </c>
      <c r="R36" s="16">
        <f>D36*$B$16*VLOOKUP($A36,NPV!$B$3:$D$44,2,0)</f>
        <v>38162.584036372122</v>
      </c>
      <c r="S36" s="16">
        <f t="shared" si="7"/>
        <v>634694.86079999991</v>
      </c>
      <c r="T36" s="16">
        <f>SUM(P36,R36)</f>
        <v>436259.77054386615</v>
      </c>
      <c r="V36" s="16">
        <f t="shared" si="9"/>
        <v>445797.5808</v>
      </c>
      <c r="W36" s="16">
        <f>D36*$B$13*VLOOKUP($A36,NPV!$B$3:$D$44,2,0)</f>
        <v>257324.8523595377</v>
      </c>
      <c r="X36" s="16">
        <f t="shared" si="10"/>
        <v>41557.401599999997</v>
      </c>
      <c r="Y36" s="16">
        <f>D36*$B$14*VLOOKUP($A36,NPV!$B$3:$D$44,2,0)</f>
        <v>23987.909965719617</v>
      </c>
      <c r="Z36" s="16">
        <f t="shared" si="11"/>
        <v>41557.401599999997</v>
      </c>
      <c r="AA36" s="16">
        <f>D36*$B$15*VLOOKUP($A36,NPV!$B$3:$D$44,2,0)</f>
        <v>22897.550421823271</v>
      </c>
      <c r="AB36" s="16">
        <f t="shared" si="12"/>
        <v>528912.38399999996</v>
      </c>
      <c r="AC36" s="16">
        <f t="shared" si="13"/>
        <v>304210.31274708058</v>
      </c>
      <c r="AE36" s="16">
        <f t="shared" si="14"/>
        <v>5549243.9808</v>
      </c>
      <c r="AF36" s="16">
        <f t="shared" si="15"/>
        <v>3271962.7925348394</v>
      </c>
      <c r="AI36" s="61"/>
      <c r="AJ36" s="61"/>
      <c r="AK36" s="61"/>
    </row>
    <row r="37" spans="1:37" x14ac:dyDescent="0.25">
      <c r="A37" s="5">
        <f t="shared" si="16"/>
        <v>2041</v>
      </c>
      <c r="B37" s="10">
        <f t="shared" si="0"/>
        <v>13416</v>
      </c>
      <c r="C37" s="10">
        <f>B37*'Inputs &amp; Parameters'!$C$19/60</f>
        <v>49192</v>
      </c>
      <c r="D37" s="10">
        <f>B37*'Inputs &amp; Parameters'!$B$19</f>
        <v>1888972.8</v>
      </c>
      <c r="E37" s="9"/>
      <c r="F37" s="16">
        <f t="shared" si="1"/>
        <v>2493444.0960000004</v>
      </c>
      <c r="G37" s="16">
        <f>D37*$B$18*VLOOKUP($A37,NPV!$B$3:$D$44,2,0)</f>
        <v>1395998.6401000749</v>
      </c>
      <c r="H37" s="16">
        <f t="shared" si="2"/>
        <v>1797744</v>
      </c>
      <c r="I37" s="16">
        <f>H37*VLOOKUP($A37,NPV!$B$3:$D$44,2,0)</f>
        <v>1006498.6751754585</v>
      </c>
      <c r="J37" s="16">
        <f>D37*'Truck Diversion (No Build)- Dry'!$B$19</f>
        <v>94448.640000000014</v>
      </c>
      <c r="K37" s="16">
        <f>D37*'Truck Diversion (No Build)- Dry'!$B$19*VLOOKUP($A37,NPV!$B$3:$D$44,2,0)</f>
        <v>52878.736367427082</v>
      </c>
      <c r="L37" s="16">
        <f t="shared" si="3"/>
        <v>4385636.7360000005</v>
      </c>
      <c r="M37" s="16">
        <f t="shared" si="4"/>
        <v>2455376.0516429609</v>
      </c>
      <c r="N37" s="8"/>
      <c r="O37" s="16">
        <f t="shared" si="5"/>
        <v>568580.81279999996</v>
      </c>
      <c r="P37" s="16">
        <f>D37*$B$17*VLOOKUP($A37,NPV!$B$3:$D$44,3,0)</f>
        <v>390291.35932107258</v>
      </c>
      <c r="Q37" s="16">
        <f t="shared" si="6"/>
        <v>66114.04800000001</v>
      </c>
      <c r="R37" s="16">
        <f>D37*$B$16*VLOOKUP($A37,NPV!$B$3:$D$44,2,0)</f>
        <v>37015.115457198961</v>
      </c>
      <c r="S37" s="16">
        <f t="shared" si="7"/>
        <v>634694.86079999991</v>
      </c>
      <c r="T37" s="16">
        <f t="shared" si="8"/>
        <v>427306.47477827151</v>
      </c>
      <c r="V37" s="16">
        <f t="shared" si="9"/>
        <v>445797.5808</v>
      </c>
      <c r="W37" s="16">
        <f>D37*$B$13*VLOOKUP($A37,NPV!$B$3:$D$44,2,0)</f>
        <v>249587.63565425581</v>
      </c>
      <c r="X37" s="16">
        <f t="shared" si="10"/>
        <v>41557.401599999997</v>
      </c>
      <c r="Y37" s="16">
        <f>D37*$B$14*VLOOKUP($A37,NPV!$B$3:$D$44,2,0)</f>
        <v>23266.644001667912</v>
      </c>
      <c r="Z37" s="16">
        <f t="shared" si="11"/>
        <v>41557.401599999997</v>
      </c>
      <c r="AA37" s="16">
        <f>D37*$B$15*VLOOKUP($A37,NPV!$B$3:$D$44,2,0)</f>
        <v>22209.069274319372</v>
      </c>
      <c r="AB37" s="16">
        <f t="shared" si="12"/>
        <v>528912.38399999996</v>
      </c>
      <c r="AC37" s="16">
        <f t="shared" si="13"/>
        <v>295063.34893024311</v>
      </c>
      <c r="AE37" s="16">
        <f t="shared" si="14"/>
        <v>5549243.9808</v>
      </c>
      <c r="AF37" s="16">
        <f t="shared" si="15"/>
        <v>3177745.8753514751</v>
      </c>
      <c r="AI37" s="61"/>
      <c r="AJ37" s="61"/>
      <c r="AK37" s="61"/>
    </row>
    <row r="38" spans="1:37" x14ac:dyDescent="0.25">
      <c r="A38" s="5">
        <f t="shared" si="16"/>
        <v>2042</v>
      </c>
      <c r="B38" s="10">
        <f t="shared" si="0"/>
        <v>13416</v>
      </c>
      <c r="C38" s="10">
        <f>B38*'Inputs &amp; Parameters'!$C$19/60</f>
        <v>49192</v>
      </c>
      <c r="D38" s="10">
        <f>B38*'Inputs &amp; Parameters'!$B$19</f>
        <v>1888972.8</v>
      </c>
      <c r="E38" s="9"/>
      <c r="F38" s="16">
        <f t="shared" si="1"/>
        <v>2493444.0960000004</v>
      </c>
      <c r="G38" s="16">
        <f>D38*$B$18*VLOOKUP($A38,NPV!$B$3:$D$44,2,0)</f>
        <v>1354023.8992241272</v>
      </c>
      <c r="H38" s="16">
        <f t="shared" si="2"/>
        <v>1797744</v>
      </c>
      <c r="I38" s="16">
        <f>H38*VLOOKUP($A38,NPV!$B$3:$D$44,2,0)</f>
        <v>976235.37844370375</v>
      </c>
      <c r="J38" s="16">
        <f>D38*'Truck Diversion (No Build)- Dry'!$B$19</f>
        <v>94448.640000000014</v>
      </c>
      <c r="K38" s="16">
        <f>D38*'Truck Diversion (No Build)- Dry'!$B$19*VLOOKUP($A38,NPV!$B$3:$D$44,2,0)</f>
        <v>51288.784061519968</v>
      </c>
      <c r="L38" s="16">
        <f t="shared" si="3"/>
        <v>4385636.7360000005</v>
      </c>
      <c r="M38" s="16">
        <f t="shared" si="4"/>
        <v>2381548.0617293506</v>
      </c>
      <c r="N38" s="8"/>
      <c r="O38" s="16">
        <f t="shared" si="5"/>
        <v>568580.81279999996</v>
      </c>
      <c r="P38" s="16">
        <f>D38*$B$17*VLOOKUP($A38,NPV!$B$3:$D$44,3,0)</f>
        <v>382638.58756967902</v>
      </c>
      <c r="Q38" s="16">
        <f t="shared" si="6"/>
        <v>66114.04800000001</v>
      </c>
      <c r="R38" s="16">
        <f>D38*$B$16*VLOOKUP($A38,NPV!$B$3:$D$44,2,0)</f>
        <v>35902.14884306398</v>
      </c>
      <c r="S38" s="16">
        <f t="shared" si="7"/>
        <v>634694.86079999991</v>
      </c>
      <c r="T38" s="16">
        <f t="shared" si="8"/>
        <v>418540.73641274299</v>
      </c>
      <c r="V38" s="16">
        <f t="shared" si="9"/>
        <v>445797.5808</v>
      </c>
      <c r="W38" s="16">
        <f>D38*$B$13*VLOOKUP($A38,NPV!$B$3:$D$44,2,0)</f>
        <v>242083.0607703742</v>
      </c>
      <c r="X38" s="16">
        <f t="shared" si="10"/>
        <v>41557.401599999997</v>
      </c>
      <c r="Y38" s="16">
        <f>D38*$B$14*VLOOKUP($A38,NPV!$B$3:$D$44,2,0)</f>
        <v>22567.064987068781</v>
      </c>
      <c r="Z38" s="16">
        <f t="shared" si="11"/>
        <v>41557.401599999997</v>
      </c>
      <c r="AA38" s="16">
        <f>D38*$B$15*VLOOKUP($A38,NPV!$B$3:$D$44,2,0)</f>
        <v>21541.289305838385</v>
      </c>
      <c r="AB38" s="16">
        <f t="shared" si="12"/>
        <v>528912.38399999996</v>
      </c>
      <c r="AC38" s="16">
        <f t="shared" si="13"/>
        <v>286191.41506328137</v>
      </c>
      <c r="AE38" s="16">
        <f t="shared" si="14"/>
        <v>5549243.9808</v>
      </c>
      <c r="AF38" s="16">
        <f t="shared" si="15"/>
        <v>3086280.2132053752</v>
      </c>
      <c r="AI38" s="61"/>
      <c r="AJ38" s="61"/>
      <c r="AK38" s="61"/>
    </row>
    <row r="39" spans="1:37" x14ac:dyDescent="0.25">
      <c r="A39" s="5">
        <f t="shared" si="16"/>
        <v>2043</v>
      </c>
      <c r="B39" s="10">
        <f t="shared" si="0"/>
        <v>13416</v>
      </c>
      <c r="C39" s="10">
        <f>B39*'Inputs &amp; Parameters'!$C$19/60</f>
        <v>49192</v>
      </c>
      <c r="D39" s="10">
        <f>B39*'Inputs &amp; Parameters'!$B$19</f>
        <v>1888972.8</v>
      </c>
      <c r="E39" s="9"/>
      <c r="F39" s="16">
        <f t="shared" si="1"/>
        <v>2493444.0960000004</v>
      </c>
      <c r="G39" s="16">
        <f>D39*$B$18*VLOOKUP($A39,NPV!$B$3:$D$44,2,0)</f>
        <v>1313311.250459871</v>
      </c>
      <c r="H39" s="16">
        <f t="shared" si="2"/>
        <v>1797744</v>
      </c>
      <c r="I39" s="16">
        <f>H39*VLOOKUP($A39,NPV!$B$3:$D$44,2,0)</f>
        <v>946882.03534791828</v>
      </c>
      <c r="J39" s="16">
        <f>D39*'Truck Diversion (No Build)- Dry'!$B$19</f>
        <v>94448.640000000014</v>
      </c>
      <c r="K39" s="16">
        <f>D39*'Truck Diversion (No Build)- Dry'!$B$19*VLOOKUP($A39,NPV!$B$3:$D$44,2,0)</f>
        <v>49746.638274995115</v>
      </c>
      <c r="L39" s="16">
        <f t="shared" si="3"/>
        <v>4385636.7360000005</v>
      </c>
      <c r="M39" s="16">
        <f t="shared" si="4"/>
        <v>2309939.9240827844</v>
      </c>
      <c r="N39" s="8"/>
      <c r="O39" s="16">
        <f t="shared" si="5"/>
        <v>568580.81279999996</v>
      </c>
      <c r="P39" s="16">
        <f>D39*$B$17*VLOOKUP($A39,NPV!$B$3:$D$44,3,0)</f>
        <v>375135.87016635196</v>
      </c>
      <c r="Q39" s="16">
        <f t="shared" si="6"/>
        <v>66114.04800000001</v>
      </c>
      <c r="R39" s="16">
        <f>D39*$B$16*VLOOKUP($A39,NPV!$B$3:$D$44,2,0)</f>
        <v>34822.646792496584</v>
      </c>
      <c r="S39" s="16">
        <f t="shared" si="7"/>
        <v>634694.86079999991</v>
      </c>
      <c r="T39" s="16">
        <f t="shared" si="8"/>
        <v>409958.51695884857</v>
      </c>
      <c r="V39" s="16">
        <f t="shared" si="9"/>
        <v>445797.5808</v>
      </c>
      <c r="W39" s="16">
        <f>D39*$B$13*VLOOKUP($A39,NPV!$B$3:$D$44,2,0)</f>
        <v>234804.13265797691</v>
      </c>
      <c r="X39" s="16">
        <f t="shared" si="10"/>
        <v>41557.401599999997</v>
      </c>
      <c r="Y39" s="16">
        <f>D39*$B$14*VLOOKUP($A39,NPV!$B$3:$D$44,2,0)</f>
        <v>21888.520840997848</v>
      </c>
      <c r="Z39" s="16">
        <f t="shared" si="11"/>
        <v>41557.401599999997</v>
      </c>
      <c r="AA39" s="16">
        <f>D39*$B$15*VLOOKUP($A39,NPV!$B$3:$D$44,2,0)</f>
        <v>20893.588075497948</v>
      </c>
      <c r="AB39" s="16">
        <f t="shared" si="12"/>
        <v>528912.38399999996</v>
      </c>
      <c r="AC39" s="16">
        <f t="shared" si="13"/>
        <v>277586.24157447269</v>
      </c>
      <c r="AE39" s="16">
        <f t="shared" si="14"/>
        <v>5549243.9808</v>
      </c>
      <c r="AF39" s="16">
        <f t="shared" si="15"/>
        <v>2997484.6826161058</v>
      </c>
      <c r="AI39" s="61"/>
      <c r="AJ39" s="61"/>
      <c r="AK39" s="61"/>
    </row>
    <row r="40" spans="1:37" x14ac:dyDescent="0.25">
      <c r="A40" s="5">
        <f t="shared" si="16"/>
        <v>2044</v>
      </c>
      <c r="B40" s="10">
        <f t="shared" si="0"/>
        <v>13416</v>
      </c>
      <c r="C40" s="10">
        <f>B40*'Inputs &amp; Parameters'!$C$19/60</f>
        <v>49192</v>
      </c>
      <c r="D40" s="10">
        <f>B40*'Inputs &amp; Parameters'!$B$19</f>
        <v>1888972.8</v>
      </c>
      <c r="E40" s="9"/>
      <c r="F40" s="16">
        <f t="shared" si="1"/>
        <v>2493444.0960000004</v>
      </c>
      <c r="G40" s="16">
        <f>D40*$B$18*VLOOKUP($A40,NPV!$B$3:$D$44,2,0)</f>
        <v>1273822.7453539004</v>
      </c>
      <c r="H40" s="16">
        <f t="shared" si="2"/>
        <v>1797744</v>
      </c>
      <c r="I40" s="16">
        <f>H40*VLOOKUP($A40,NPV!$B$3:$D$44,2,0)</f>
        <v>918411.28549749614</v>
      </c>
      <c r="J40" s="16">
        <f>D40*'Truck Diversion (No Build)- Dry'!$B$19</f>
        <v>94448.640000000014</v>
      </c>
      <c r="K40" s="16">
        <f>D40*'Truck Diversion (No Build)- Dry'!$B$19*VLOOKUP($A40,NPV!$B$3:$D$44,2,0)</f>
        <v>48250.861566435626</v>
      </c>
      <c r="L40" s="16">
        <f t="shared" si="3"/>
        <v>4385636.7360000005</v>
      </c>
      <c r="M40" s="16">
        <f t="shared" si="4"/>
        <v>2240484.8924178323</v>
      </c>
      <c r="N40" s="8"/>
      <c r="O40" s="16">
        <f t="shared" si="5"/>
        <v>568580.81279999996</v>
      </c>
      <c r="P40" s="16">
        <f>D40*$B$17*VLOOKUP($A40,NPV!$B$3:$D$44,3,0)</f>
        <v>367780.26486897247</v>
      </c>
      <c r="Q40" s="16">
        <f t="shared" si="6"/>
        <v>66114.04800000001</v>
      </c>
      <c r="R40" s="16">
        <f>D40*$B$16*VLOOKUP($A40,NPV!$B$3:$D$44,2,0)</f>
        <v>33775.603096504936</v>
      </c>
      <c r="S40" s="16">
        <f t="shared" si="7"/>
        <v>634694.86079999991</v>
      </c>
      <c r="T40" s="16">
        <f t="shared" si="8"/>
        <v>401555.8679654774</v>
      </c>
      <c r="V40" s="16">
        <f t="shared" si="9"/>
        <v>445797.5808</v>
      </c>
      <c r="W40" s="16">
        <f>D40*$B$13*VLOOKUP($A40,NPV!$B$3:$D$44,2,0)</f>
        <v>227744.06659357611</v>
      </c>
      <c r="X40" s="16">
        <f t="shared" si="10"/>
        <v>41557.401599999997</v>
      </c>
      <c r="Y40" s="16">
        <f>D40*$B$14*VLOOKUP($A40,NPV!$B$3:$D$44,2,0)</f>
        <v>21230.379089231668</v>
      </c>
      <c r="Z40" s="16">
        <f t="shared" si="11"/>
        <v>41557.401599999997</v>
      </c>
      <c r="AA40" s="16">
        <f>D40*$B$15*VLOOKUP($A40,NPV!$B$3:$D$44,2,0)</f>
        <v>20265.361857902961</v>
      </c>
      <c r="AB40" s="16">
        <f t="shared" si="12"/>
        <v>528912.38399999996</v>
      </c>
      <c r="AC40" s="16">
        <f t="shared" si="13"/>
        <v>269239.80754071072</v>
      </c>
      <c r="AE40" s="16">
        <f t="shared" si="14"/>
        <v>5549243.9808</v>
      </c>
      <c r="AF40" s="16">
        <f t="shared" si="15"/>
        <v>2911280.5679240203</v>
      </c>
      <c r="AI40" s="61"/>
      <c r="AJ40" s="61"/>
      <c r="AK40" s="61"/>
    </row>
    <row r="41" spans="1:37" x14ac:dyDescent="0.25">
      <c r="A41" s="5">
        <f t="shared" si="16"/>
        <v>2045</v>
      </c>
      <c r="B41" s="10">
        <f t="shared" si="0"/>
        <v>13416</v>
      </c>
      <c r="C41" s="10">
        <f>B41*'Inputs &amp; Parameters'!$C$19/60</f>
        <v>49192</v>
      </c>
      <c r="D41" s="10">
        <f>B41*'Inputs &amp; Parameters'!$B$19</f>
        <v>1888972.8</v>
      </c>
      <c r="E41" s="9"/>
      <c r="F41" s="16">
        <f t="shared" si="1"/>
        <v>2493444.0960000004</v>
      </c>
      <c r="G41" s="16">
        <f>D41*$B$18*VLOOKUP($A41,NPV!$B$3:$D$44,2,0)</f>
        <v>1235521.5764829295</v>
      </c>
      <c r="H41" s="16">
        <f t="shared" si="2"/>
        <v>1797744</v>
      </c>
      <c r="I41" s="16">
        <f>H41*VLOOKUP($A41,NPV!$B$3:$D$44,2,0)</f>
        <v>890796.59117118909</v>
      </c>
      <c r="J41" s="16">
        <f>D41*'Truck Diversion (No Build)- Dry'!$B$19</f>
        <v>94448.640000000014</v>
      </c>
      <c r="K41" s="16">
        <f>D41*'Truck Diversion (No Build)- Dry'!$B$19*VLOOKUP($A41,NPV!$B$3:$D$44,2,0)</f>
        <v>46800.059715262483</v>
      </c>
      <c r="L41" s="16">
        <f t="shared" si="3"/>
        <v>4385636.7360000005</v>
      </c>
      <c r="M41" s="16">
        <f t="shared" si="4"/>
        <v>2173118.2273693811</v>
      </c>
      <c r="N41" s="8"/>
      <c r="O41" s="16">
        <f t="shared" si="5"/>
        <v>568580.81279999996</v>
      </c>
      <c r="P41" s="16">
        <f>D41*$B$17*VLOOKUP($A41,NPV!$B$3:$D$44,3,0)</f>
        <v>360568.88712644367</v>
      </c>
      <c r="Q41" s="16">
        <f t="shared" si="6"/>
        <v>66114.04800000001</v>
      </c>
      <c r="R41" s="16">
        <f>D41*$B$16*VLOOKUP($A41,NPV!$B$3:$D$44,2,0)</f>
        <v>32760.041800683735</v>
      </c>
      <c r="S41" s="16">
        <f t="shared" si="7"/>
        <v>634694.86079999991</v>
      </c>
      <c r="T41" s="16">
        <f t="shared" si="8"/>
        <v>393328.92892712739</v>
      </c>
      <c r="V41" s="16">
        <f t="shared" si="9"/>
        <v>445797.5808</v>
      </c>
      <c r="W41" s="16">
        <f>D41*$B$13*VLOOKUP($A41,NPV!$B$3:$D$44,2,0)</f>
        <v>220896.28185603887</v>
      </c>
      <c r="X41" s="16">
        <f t="shared" si="10"/>
        <v>41557.401599999997</v>
      </c>
      <c r="Y41" s="16">
        <f>D41*$B$14*VLOOKUP($A41,NPV!$B$3:$D$44,2,0)</f>
        <v>20592.026274715488</v>
      </c>
      <c r="Z41" s="16">
        <f t="shared" si="11"/>
        <v>41557.401599999997</v>
      </c>
      <c r="AA41" s="16">
        <f>D41*$B$15*VLOOKUP($A41,NPV!$B$3:$D$44,2,0)</f>
        <v>19656.02508041024</v>
      </c>
      <c r="AB41" s="16">
        <f t="shared" si="12"/>
        <v>528912.38399999996</v>
      </c>
      <c r="AC41" s="16">
        <f t="shared" si="13"/>
        <v>261144.3332111646</v>
      </c>
      <c r="AE41" s="16">
        <f t="shared" si="14"/>
        <v>5549243.9808</v>
      </c>
      <c r="AF41" s="16">
        <f t="shared" si="15"/>
        <v>2827591.4895076728</v>
      </c>
      <c r="AI41" s="61"/>
      <c r="AJ41" s="61"/>
      <c r="AK41" s="61"/>
    </row>
    <row r="42" spans="1:37" x14ac:dyDescent="0.25">
      <c r="A42" s="5">
        <f t="shared" si="16"/>
        <v>2046</v>
      </c>
      <c r="B42" s="10">
        <f t="shared" si="0"/>
        <v>13416</v>
      </c>
      <c r="C42" s="10">
        <f>B42*'Inputs &amp; Parameters'!$C$19/60</f>
        <v>49192</v>
      </c>
      <c r="D42" s="10">
        <f>B42*'Inputs &amp; Parameters'!$B$19</f>
        <v>1888972.8</v>
      </c>
      <c r="E42" s="9"/>
      <c r="F42" s="16">
        <f t="shared" si="1"/>
        <v>2493444.0960000004</v>
      </c>
      <c r="G42" s="16">
        <f>D42*$B$18*VLOOKUP($A42,NPV!$B$3:$D$44,2,0)</f>
        <v>1198372.0431454217</v>
      </c>
      <c r="H42" s="16">
        <f t="shared" si="2"/>
        <v>1797744</v>
      </c>
      <c r="I42" s="16">
        <f>H42*VLOOKUP($A42,NPV!$B$3:$D$44,2,0)</f>
        <v>864012.21258117293</v>
      </c>
      <c r="J42" s="16">
        <f>D42*'Truck Diversion (No Build)- Dry'!$B$19</f>
        <v>94448.640000000014</v>
      </c>
      <c r="K42" s="16">
        <f>D42*'Truck Diversion (No Build)- Dry'!$B$19*VLOOKUP($A42,NPV!$B$3:$D$44,2,0)</f>
        <v>45392.880422175062</v>
      </c>
      <c r="L42" s="16">
        <f t="shared" si="3"/>
        <v>4385636.7360000005</v>
      </c>
      <c r="M42" s="16">
        <f t="shared" si="4"/>
        <v>2107777.1361487694</v>
      </c>
      <c r="N42" s="8"/>
      <c r="O42" s="16">
        <f t="shared" si="5"/>
        <v>568580.81279999996</v>
      </c>
      <c r="P42" s="16">
        <f>D42*$B$17*VLOOKUP($A42,NPV!$B$3:$D$44,3,0)</f>
        <v>353498.90894749376</v>
      </c>
      <c r="Q42" s="16">
        <f t="shared" si="6"/>
        <v>66114.04800000001</v>
      </c>
      <c r="R42" s="16">
        <f>D42*$B$16*VLOOKUP($A42,NPV!$B$3:$D$44,2,0)</f>
        <v>31775.016295522546</v>
      </c>
      <c r="S42" s="16">
        <f t="shared" si="7"/>
        <v>634694.86079999991</v>
      </c>
      <c r="T42" s="16">
        <f t="shared" si="8"/>
        <v>385273.92524301633</v>
      </c>
      <c r="V42" s="16">
        <f t="shared" si="9"/>
        <v>445797.5808</v>
      </c>
      <c r="W42" s="16">
        <f>D42*$B$13*VLOOKUP($A42,NPV!$B$3:$D$44,2,0)</f>
        <v>214254.39559266626</v>
      </c>
      <c r="X42" s="16">
        <f t="shared" si="10"/>
        <v>41557.401599999997</v>
      </c>
      <c r="Y42" s="16">
        <f>D42*$B$14*VLOOKUP($A42,NPV!$B$3:$D$44,2,0)</f>
        <v>19972.867385757025</v>
      </c>
      <c r="Z42" s="16">
        <f t="shared" si="11"/>
        <v>41557.401599999997</v>
      </c>
      <c r="AA42" s="16">
        <f>D42*$B$15*VLOOKUP($A42,NPV!$B$3:$D$44,2,0)</f>
        <v>19065.009777313524</v>
      </c>
      <c r="AB42" s="16">
        <f t="shared" si="12"/>
        <v>528912.38399999996</v>
      </c>
      <c r="AC42" s="16">
        <f t="shared" si="13"/>
        <v>253292.27275573681</v>
      </c>
      <c r="AE42" s="16">
        <f t="shared" si="14"/>
        <v>5549243.9808</v>
      </c>
      <c r="AF42" s="16">
        <f t="shared" si="15"/>
        <v>2746343.3341475227</v>
      </c>
      <c r="AI42" s="61"/>
      <c r="AJ42" s="61"/>
      <c r="AK42" s="61"/>
    </row>
    <row r="43" spans="1:37" x14ac:dyDescent="0.25">
      <c r="A43" s="5">
        <f t="shared" si="16"/>
        <v>2047</v>
      </c>
      <c r="B43" s="10">
        <f t="shared" si="0"/>
        <v>13416</v>
      </c>
      <c r="C43" s="10">
        <f>B43*'Inputs &amp; Parameters'!$C$19/60</f>
        <v>49192</v>
      </c>
      <c r="D43" s="10">
        <f>B43*'Inputs &amp; Parameters'!$B$19</f>
        <v>1888972.8</v>
      </c>
      <c r="E43" s="9"/>
      <c r="F43" s="16">
        <f t="shared" si="1"/>
        <v>2493444.0960000004</v>
      </c>
      <c r="G43" s="16">
        <f>D43*$B$18*VLOOKUP($A43,NPV!$B$3:$D$44,2,0)</f>
        <v>1162339.5180847931</v>
      </c>
      <c r="H43" s="16">
        <f t="shared" si="2"/>
        <v>1797744</v>
      </c>
      <c r="I43" s="16">
        <f>H43*VLOOKUP($A43,NPV!$B$3:$D$44,2,0)</f>
        <v>838033.18388086604</v>
      </c>
      <c r="J43" s="16">
        <f>D43*'Truck Diversion (No Build)- Dry'!$B$19</f>
        <v>94448.640000000014</v>
      </c>
      <c r="K43" s="16">
        <f>D43*'Truck Diversion (No Build)- Dry'!$B$19*VLOOKUP($A43,NPV!$B$3:$D$44,2,0)</f>
        <v>44028.012048666402</v>
      </c>
      <c r="L43" s="16">
        <f t="shared" si="3"/>
        <v>4385636.7360000005</v>
      </c>
      <c r="M43" s="16">
        <f t="shared" si="4"/>
        <v>2044400.7140143255</v>
      </c>
      <c r="N43" s="8"/>
      <c r="O43" s="16">
        <f t="shared" si="5"/>
        <v>568580.81279999996</v>
      </c>
      <c r="P43" s="16">
        <f>D43*$B$17*VLOOKUP($A43,NPV!$B$3:$D$44,3,0)</f>
        <v>346567.5577916606</v>
      </c>
      <c r="Q43" s="16">
        <f t="shared" si="6"/>
        <v>66114.04800000001</v>
      </c>
      <c r="R43" s="16">
        <f>D43*$B$16*VLOOKUP($A43,NPV!$B$3:$D$44,2,0)</f>
        <v>30819.608434066482</v>
      </c>
      <c r="S43" s="16">
        <f t="shared" si="7"/>
        <v>634694.86079999991</v>
      </c>
      <c r="T43" s="16">
        <f t="shared" si="8"/>
        <v>377387.16622572707</v>
      </c>
      <c r="V43" s="16">
        <f t="shared" si="9"/>
        <v>445797.5808</v>
      </c>
      <c r="W43" s="16">
        <f>D43*$B$13*VLOOKUP($A43,NPV!$B$3:$D$44,2,0)</f>
        <v>207812.21686970539</v>
      </c>
      <c r="X43" s="16">
        <f t="shared" si="10"/>
        <v>41557.401599999997</v>
      </c>
      <c r="Y43" s="16">
        <f>D43*$B$14*VLOOKUP($A43,NPV!$B$3:$D$44,2,0)</f>
        <v>19372.325301413213</v>
      </c>
      <c r="Z43" s="16">
        <f t="shared" si="11"/>
        <v>41557.401599999997</v>
      </c>
      <c r="AA43" s="16">
        <f>D43*$B$15*VLOOKUP($A43,NPV!$B$3:$D$44,2,0)</f>
        <v>18491.765060439888</v>
      </c>
      <c r="AB43" s="16">
        <f t="shared" si="12"/>
        <v>528912.38399999996</v>
      </c>
      <c r="AC43" s="16">
        <f t="shared" si="13"/>
        <v>245676.30723155849</v>
      </c>
      <c r="AE43" s="16">
        <f t="shared" si="14"/>
        <v>5549243.9808</v>
      </c>
      <c r="AF43" s="16">
        <f t="shared" si="15"/>
        <v>2667464.187471611</v>
      </c>
      <c r="AI43" s="61"/>
      <c r="AJ43" s="61"/>
      <c r="AK43" s="61"/>
    </row>
    <row r="44" spans="1:37" x14ac:dyDescent="0.25">
      <c r="A44" s="11" t="s">
        <v>45</v>
      </c>
      <c r="B44" s="37">
        <f>SUBTOTAL(9,B24:B43)</f>
        <v>268320</v>
      </c>
      <c r="C44" s="37">
        <f>SUBTOTAL(9,C24:C43)</f>
        <v>983840</v>
      </c>
      <c r="D44" s="37">
        <f>SUBTOTAL(9,D24:D43)</f>
        <v>37779456</v>
      </c>
      <c r="E44" s="38"/>
      <c r="F44" s="39">
        <f>SUBTOTAL(9,F24:F43)</f>
        <v>49868881.920000009</v>
      </c>
      <c r="G44" s="39">
        <f t="shared" ref="G44:L44" si="17">SUBTOTAL(9,G24:G43)</f>
        <v>31552145.284962207</v>
      </c>
      <c r="H44" s="39">
        <f t="shared" si="17"/>
        <v>35954880</v>
      </c>
      <c r="I44" s="39">
        <f t="shared" si="17"/>
        <v>22748727.338288438</v>
      </c>
      <c r="J44" s="39">
        <f t="shared" si="17"/>
        <v>1888972.8000000012</v>
      </c>
      <c r="K44" s="39">
        <f t="shared" si="17"/>
        <v>1195157.0183697804</v>
      </c>
      <c r="L44" s="39">
        <f t="shared" si="17"/>
        <v>87712734.720000014</v>
      </c>
      <c r="M44" s="39">
        <f>SUBTOTAL(9,M24:M43)</f>
        <v>55496029.64162042</v>
      </c>
      <c r="N44" s="40"/>
      <c r="O44" s="39">
        <f t="shared" ref="O44:S44" si="18">SUBTOTAL(9,O24:O43)</f>
        <v>11371616.255999994</v>
      </c>
      <c r="P44" s="39">
        <f t="shared" si="18"/>
        <v>8420680.1119717658</v>
      </c>
      <c r="Q44" s="39">
        <f t="shared" si="18"/>
        <v>1322280.9599999995</v>
      </c>
      <c r="R44" s="39">
        <f t="shared" si="18"/>
        <v>836609.91285884636</v>
      </c>
      <c r="S44" s="39">
        <f t="shared" si="18"/>
        <v>12693897.215999998</v>
      </c>
      <c r="T44" s="39">
        <f>SUBTOTAL(9,T24:T43)</f>
        <v>9257290.0248306114</v>
      </c>
      <c r="U44" s="1"/>
      <c r="V44" s="39">
        <f t="shared" ref="V44:AB44" si="19">SUBTOTAL(9,V24:V43)</f>
        <v>8915951.6159999985</v>
      </c>
      <c r="W44" s="39">
        <f t="shared" si="19"/>
        <v>5641141.1267053625</v>
      </c>
      <c r="X44" s="39">
        <f t="shared" si="19"/>
        <v>831148.03199999977</v>
      </c>
      <c r="Y44" s="39">
        <f t="shared" si="19"/>
        <v>525869.0880827033</v>
      </c>
      <c r="Z44" s="39">
        <f t="shared" si="19"/>
        <v>831148.03199999977</v>
      </c>
      <c r="AA44" s="39">
        <f t="shared" si="19"/>
        <v>501965.94771530782</v>
      </c>
      <c r="AB44" s="39">
        <f t="shared" si="19"/>
        <v>10578247.679999996</v>
      </c>
      <c r="AC44" s="39">
        <f>SUBTOTAL(9,AC24:AC43)</f>
        <v>6668976.1625033757</v>
      </c>
      <c r="AD44" s="1"/>
      <c r="AE44" s="39">
        <f t="shared" si="14"/>
        <v>110984879.61600001</v>
      </c>
      <c r="AF44" s="39">
        <f>SUM(M44,T44,AC44)</f>
        <v>71422295.828954399</v>
      </c>
    </row>
    <row r="46" spans="1:37" ht="20.25" thickBot="1" x14ac:dyDescent="0.35">
      <c r="A46" s="19" t="s">
        <v>295</v>
      </c>
    </row>
    <row r="47" spans="1:37" ht="15.75" thickTop="1" x14ac:dyDescent="0.25">
      <c r="F47" s="185" t="s">
        <v>46</v>
      </c>
      <c r="G47" s="186"/>
      <c r="H47" s="186"/>
      <c r="I47" s="186"/>
      <c r="J47" s="186"/>
      <c r="K47" s="186"/>
      <c r="L47" s="186"/>
      <c r="M47" s="187"/>
      <c r="N47" s="7"/>
      <c r="O47" s="185" t="s">
        <v>283</v>
      </c>
      <c r="P47" s="186"/>
      <c r="Q47" s="186"/>
      <c r="R47" s="186"/>
      <c r="S47" s="186"/>
      <c r="T47" s="187"/>
      <c r="V47" s="185" t="s">
        <v>271</v>
      </c>
      <c r="W47" s="186"/>
      <c r="X47" s="186"/>
      <c r="Y47" s="186"/>
      <c r="Z47" s="186"/>
      <c r="AA47" s="186"/>
      <c r="AB47" s="186"/>
      <c r="AC47" s="187"/>
    </row>
    <row r="48" spans="1:37" s="74" customFormat="1" ht="45" x14ac:dyDescent="0.25">
      <c r="A48" s="15" t="s">
        <v>42</v>
      </c>
      <c r="B48" s="15" t="s">
        <v>395</v>
      </c>
      <c r="C48" s="15" t="s">
        <v>284</v>
      </c>
      <c r="D48" s="15" t="s">
        <v>285</v>
      </c>
      <c r="E48" s="130"/>
      <c r="F48" s="15" t="s">
        <v>46</v>
      </c>
      <c r="G48" s="15" t="s">
        <v>65</v>
      </c>
      <c r="H48" s="15" t="s">
        <v>286</v>
      </c>
      <c r="I48" s="131" t="s">
        <v>287</v>
      </c>
      <c r="J48" s="131" t="s">
        <v>288</v>
      </c>
      <c r="K48" s="15" t="s">
        <v>289</v>
      </c>
      <c r="L48" s="15" t="s">
        <v>45</v>
      </c>
      <c r="M48" s="15" t="s">
        <v>33</v>
      </c>
      <c r="N48" s="130"/>
      <c r="O48" s="15" t="s">
        <v>214</v>
      </c>
      <c r="P48" s="15" t="s">
        <v>254</v>
      </c>
      <c r="Q48" s="15" t="s">
        <v>290</v>
      </c>
      <c r="R48" s="15" t="s">
        <v>291</v>
      </c>
      <c r="S48" s="15" t="s">
        <v>45</v>
      </c>
      <c r="T48" s="15" t="s">
        <v>33</v>
      </c>
      <c r="V48" s="15" t="s">
        <v>273</v>
      </c>
      <c r="W48" s="15" t="s">
        <v>292</v>
      </c>
      <c r="X48" s="15" t="s">
        <v>275</v>
      </c>
      <c r="Y48" s="15" t="s">
        <v>293</v>
      </c>
      <c r="Z48" s="15" t="s">
        <v>102</v>
      </c>
      <c r="AA48" s="15" t="s">
        <v>294</v>
      </c>
      <c r="AB48" s="15" t="s">
        <v>45</v>
      </c>
      <c r="AC48" s="15" t="s">
        <v>33</v>
      </c>
      <c r="AE48" s="15" t="s">
        <v>45</v>
      </c>
      <c r="AF48" s="15" t="s">
        <v>33</v>
      </c>
    </row>
    <row r="49" spans="1:37" x14ac:dyDescent="0.25">
      <c r="A49" s="5">
        <f>$B$3</f>
        <v>2028</v>
      </c>
      <c r="B49" s="10">
        <f>$B$7*52</f>
        <v>14664</v>
      </c>
      <c r="C49" s="10">
        <f>B49*'Inputs &amp; Parameters'!$C$19/60</f>
        <v>53768</v>
      </c>
      <c r="D49" s="10">
        <f>B49*'Inputs &amp; Parameters'!$B$19</f>
        <v>2064691.2000000002</v>
      </c>
      <c r="E49" s="9"/>
      <c r="F49" s="16">
        <f>D49*'Truck Diversion (No Build)- Dry'!$B$18</f>
        <v>2725392.3840000005</v>
      </c>
      <c r="G49" s="16">
        <f>D49*'Truck Diversion (No Build)- Dry'!$B$18*VLOOKUP($A49,NPV!$B$3:$D$44,2,0)</f>
        <v>2269222.3181416807</v>
      </c>
      <c r="H49" s="16">
        <f>(C49+($B$10*B49))*$B$9*$B$8</f>
        <v>1964976</v>
      </c>
      <c r="I49" s="16">
        <f>H49*VLOOKUP($A49,NPV!$B$3:$D$44,2,0)</f>
        <v>1636082.7233502558</v>
      </c>
      <c r="J49" s="16">
        <f>D49*'Truck Diversion (No Build)- Dry'!$B$19</f>
        <v>103234.56000000001</v>
      </c>
      <c r="K49" s="16">
        <f>D49*'Truck Diversion (No Build)- Dry'!$B$19*VLOOKUP($A49,NPV!$B$3:$D$44,2,0)</f>
        <v>85955.390838700012</v>
      </c>
      <c r="L49" s="16">
        <f>SUM(F49,H49,J49)</f>
        <v>4793602.9440000001</v>
      </c>
      <c r="M49" s="16">
        <f>SUM(G49,I49,K49)</f>
        <v>3991260.4323306363</v>
      </c>
      <c r="N49" s="8"/>
      <c r="O49" s="16">
        <f>D49*$B$17</f>
        <v>621472.05119999999</v>
      </c>
      <c r="P49" s="16">
        <f>D49*$B$17*VLOOKUP($A49,NPV!$B$3:$D$44,3,0)</f>
        <v>551849.3962941519</v>
      </c>
      <c r="Q49" s="16">
        <f>D49*$B$16</f>
        <v>72264.19200000001</v>
      </c>
      <c r="R49" s="16">
        <f>D49*$B$16*VLOOKUP($A49,NPV!$B$3:$D$44,2,0)</f>
        <v>60168.773587090014</v>
      </c>
      <c r="S49" s="16">
        <f>SUM(O49,Q49)</f>
        <v>693736.24320000003</v>
      </c>
      <c r="T49" s="16">
        <f>SUM(P49,R49)</f>
        <v>612018.16988124186</v>
      </c>
      <c r="V49" s="16">
        <f>D49*$B$13</f>
        <v>487267.12320000003</v>
      </c>
      <c r="W49" s="16">
        <f>D49*$B$13*VLOOKUP($A49,NPV!$B$3:$D$44,2,0)</f>
        <v>405709.44475866406</v>
      </c>
      <c r="X49" s="16">
        <f>D49*$B$14</f>
        <v>45423.206400000003</v>
      </c>
      <c r="Y49" s="16">
        <f>D49*$B$14*VLOOKUP($A49,NPV!$B$3:$D$44,2,0)</f>
        <v>37820.371969028005</v>
      </c>
      <c r="Z49" s="16">
        <f>D49*$B$15</f>
        <v>43358.515200000009</v>
      </c>
      <c r="AA49" s="16">
        <f>D49*$B$15*VLOOKUP($A49,NPV!$B$3:$D$44,2,0)</f>
        <v>36101.264152254007</v>
      </c>
      <c r="AB49" s="16">
        <f>SUM(V49,X49,Z49)</f>
        <v>576048.84480000008</v>
      </c>
      <c r="AC49" s="16">
        <f>SUM(W49,Y49,AA49)</f>
        <v>479631.08087994612</v>
      </c>
      <c r="AE49" s="16">
        <f>SUM(L49,S49,AB49)</f>
        <v>6063388.0320000006</v>
      </c>
      <c r="AF49" s="16">
        <f>SUM(M49,T49,AC49)</f>
        <v>5082909.6830918239</v>
      </c>
      <c r="AI49" s="61"/>
      <c r="AJ49" s="61"/>
      <c r="AK49" s="61"/>
    </row>
    <row r="50" spans="1:37" x14ac:dyDescent="0.25">
      <c r="A50" s="5">
        <f>A49+1</f>
        <v>2029</v>
      </c>
      <c r="B50" s="10">
        <f t="shared" ref="B50:B68" si="20">$B$7*52</f>
        <v>14664</v>
      </c>
      <c r="C50" s="10">
        <f>B50*'Inputs &amp; Parameters'!$C$19/60</f>
        <v>53768</v>
      </c>
      <c r="D50" s="10">
        <f>B50*'Inputs &amp; Parameters'!$B$19</f>
        <v>2064691.2000000002</v>
      </c>
      <c r="E50" s="9"/>
      <c r="F50" s="16">
        <f>D50*'Truck Diversion (No Build)- Dry'!$B$18</f>
        <v>2725392.3840000005</v>
      </c>
      <c r="G50" s="16">
        <f>D50*'Truck Diversion (No Build)- Dry'!$B$18*VLOOKUP($A50,NPV!$B$3:$D$44,2,0)</f>
        <v>2200991.5791868875</v>
      </c>
      <c r="H50" s="16">
        <f t="shared" ref="H50:H68" si="21">(C50+($B$10*B50))*$B$9*$B$8</f>
        <v>1964976</v>
      </c>
      <c r="I50" s="16">
        <f>H50*VLOOKUP($A50,NPV!$B$3:$D$44,2,0)</f>
        <v>1586889.1594085898</v>
      </c>
      <c r="J50" s="16">
        <f>D50*'Truck Diversion (No Build)- Dry'!$B$19</f>
        <v>103234.56000000001</v>
      </c>
      <c r="K50" s="16">
        <f>D50*'Truck Diversion (No Build)- Dry'!$B$19*VLOOKUP($A50,NPV!$B$3:$D$44,2,0)</f>
        <v>83370.893151018463</v>
      </c>
      <c r="L50" s="16">
        <f t="shared" ref="L50:L68" si="22">SUM(F50,H50,J50)</f>
        <v>4793602.9440000001</v>
      </c>
      <c r="M50" s="16">
        <f t="shared" ref="M50:M68" si="23">SUM(G50,I50,K50)</f>
        <v>3871251.6317464956</v>
      </c>
      <c r="N50" s="8"/>
      <c r="O50" s="16">
        <f t="shared" ref="O50:O68" si="24">D50*$B$17</f>
        <v>621472.05119999999</v>
      </c>
      <c r="P50" s="16">
        <f>D50*$B$17*VLOOKUP($A50,NPV!$B$3:$D$44,3,0)</f>
        <v>541028.81989622745</v>
      </c>
      <c r="Q50" s="16">
        <f t="shared" ref="Q50:Q68" si="25">D50*$B$16</f>
        <v>72264.19200000001</v>
      </c>
      <c r="R50" s="16">
        <f>D50*$B$16*VLOOKUP($A50,NPV!$B$3:$D$44,2,0)</f>
        <v>58359.625205712924</v>
      </c>
      <c r="S50" s="16">
        <f t="shared" ref="S50:S68" si="26">SUM(O50,Q50)</f>
        <v>693736.24320000003</v>
      </c>
      <c r="T50" s="16">
        <f t="shared" ref="T50:T68" si="27">SUM(P50,R50)</f>
        <v>599388.44510194042</v>
      </c>
      <c r="V50" s="16">
        <f t="shared" ref="V50:V68" si="28">D50*$B$13</f>
        <v>487267.12320000003</v>
      </c>
      <c r="W50" s="16">
        <f>D50*$B$13*VLOOKUP($A50,NPV!$B$3:$D$44,2,0)</f>
        <v>393510.61567280709</v>
      </c>
      <c r="X50" s="16">
        <f t="shared" ref="X50:X68" si="29">D50*$B$14</f>
        <v>45423.206400000003</v>
      </c>
      <c r="Y50" s="16">
        <f>D50*$B$14*VLOOKUP($A50,NPV!$B$3:$D$44,2,0)</f>
        <v>36683.192986448121</v>
      </c>
      <c r="Z50" s="16">
        <f t="shared" ref="Z50:Z68" si="30">D50*$B$15</f>
        <v>43358.515200000009</v>
      </c>
      <c r="AA50" s="16">
        <f>D50*$B$15*VLOOKUP($A50,NPV!$B$3:$D$44,2,0)</f>
        <v>35015.775123427753</v>
      </c>
      <c r="AB50" s="16">
        <f t="shared" ref="AB50:AB68" si="31">SUM(V50,X50,Z50)</f>
        <v>576048.84480000008</v>
      </c>
      <c r="AC50" s="16">
        <f t="shared" ref="AC50:AC68" si="32">SUM(W50,Y50,AA50)</f>
        <v>465209.58378268295</v>
      </c>
      <c r="AE50" s="16">
        <f t="shared" ref="AE50:AE68" si="33">SUM(L50,S50,AB50)</f>
        <v>6063388.0320000006</v>
      </c>
      <c r="AF50" s="16">
        <f t="shared" ref="AF50:AF68" si="34">SUM(M50,T50,AC50)</f>
        <v>4935849.6606311193</v>
      </c>
      <c r="AI50" s="61"/>
      <c r="AJ50" s="61"/>
      <c r="AK50" s="61"/>
    </row>
    <row r="51" spans="1:37" x14ac:dyDescent="0.25">
      <c r="A51" s="5">
        <f t="shared" ref="A51:A68" si="35">A50+1</f>
        <v>2030</v>
      </c>
      <c r="B51" s="10">
        <f t="shared" si="20"/>
        <v>14664</v>
      </c>
      <c r="C51" s="10">
        <f>B51*'Inputs &amp; Parameters'!$C$19/60</f>
        <v>53768</v>
      </c>
      <c r="D51" s="10">
        <f>B51*'Inputs &amp; Parameters'!$B$19</f>
        <v>2064691.2000000002</v>
      </c>
      <c r="E51" s="9"/>
      <c r="F51" s="16">
        <f>D51*'Truck Diversion (No Build)- Dry'!$B$18</f>
        <v>2725392.3840000005</v>
      </c>
      <c r="G51" s="16">
        <f>D51*'Truck Diversion (No Build)- Dry'!$B$18*VLOOKUP($A51,NPV!$B$3:$D$44,2,0)</f>
        <v>2134812.394943635</v>
      </c>
      <c r="H51" s="16">
        <f t="shared" si="21"/>
        <v>1964976</v>
      </c>
      <c r="I51" s="16">
        <f>H51*VLOOKUP($A51,NPV!$B$3:$D$44,2,0)</f>
        <v>1539174.7423943644</v>
      </c>
      <c r="J51" s="16">
        <f>D51*'Truck Diversion (No Build)- Dry'!$B$19</f>
        <v>103234.56000000001</v>
      </c>
      <c r="K51" s="16">
        <f>D51*'Truck Diversion (No Build)- Dry'!$B$19*VLOOKUP($A51,NPV!$B$3:$D$44,2,0)</f>
        <v>80864.105869077073</v>
      </c>
      <c r="L51" s="16">
        <f t="shared" si="22"/>
        <v>4793602.9440000001</v>
      </c>
      <c r="M51" s="16">
        <f t="shared" si="23"/>
        <v>3754851.2432070766</v>
      </c>
      <c r="N51" s="8"/>
      <c r="O51" s="16">
        <f t="shared" si="24"/>
        <v>621472.05119999999</v>
      </c>
      <c r="P51" s="16">
        <f>D51*$B$17*VLOOKUP($A51,NPV!$B$3:$D$44,3,0)</f>
        <v>530420.41166296799</v>
      </c>
      <c r="Q51" s="16">
        <f t="shared" si="25"/>
        <v>72264.19200000001</v>
      </c>
      <c r="R51" s="16">
        <f>D51*$B$16*VLOOKUP($A51,NPV!$B$3:$D$44,2,0)</f>
        <v>56604.87410835395</v>
      </c>
      <c r="S51" s="16">
        <f t="shared" si="26"/>
        <v>693736.24320000003</v>
      </c>
      <c r="T51" s="16">
        <f t="shared" si="27"/>
        <v>587025.28577132197</v>
      </c>
      <c r="V51" s="16">
        <f t="shared" si="28"/>
        <v>487267.12320000003</v>
      </c>
      <c r="W51" s="16">
        <f>D51*$B$13*VLOOKUP($A51,NPV!$B$3:$D$44,2,0)</f>
        <v>381678.57970204373</v>
      </c>
      <c r="X51" s="16">
        <f t="shared" si="29"/>
        <v>45423.206400000003</v>
      </c>
      <c r="Y51" s="16">
        <f>D51*$B$14*VLOOKUP($A51,NPV!$B$3:$D$44,2,0)</f>
        <v>35580.206582393905</v>
      </c>
      <c r="Z51" s="16">
        <f t="shared" si="30"/>
        <v>43358.515200000009</v>
      </c>
      <c r="AA51" s="16">
        <f>D51*$B$15*VLOOKUP($A51,NPV!$B$3:$D$44,2,0)</f>
        <v>33962.924465012373</v>
      </c>
      <c r="AB51" s="16">
        <f t="shared" si="31"/>
        <v>576048.84480000008</v>
      </c>
      <c r="AC51" s="16">
        <f t="shared" si="32"/>
        <v>451221.71074945002</v>
      </c>
      <c r="AE51" s="16">
        <f t="shared" si="33"/>
        <v>6063388.0320000006</v>
      </c>
      <c r="AF51" s="16">
        <f t="shared" si="34"/>
        <v>4793098.2397278482</v>
      </c>
      <c r="AI51" s="61"/>
      <c r="AJ51" s="61"/>
      <c r="AK51" s="61"/>
    </row>
    <row r="52" spans="1:37" x14ac:dyDescent="0.25">
      <c r="A52" s="5">
        <f t="shared" si="35"/>
        <v>2031</v>
      </c>
      <c r="B52" s="10">
        <f t="shared" si="20"/>
        <v>14664</v>
      </c>
      <c r="C52" s="10">
        <f>B52*'Inputs &amp; Parameters'!$C$19/60</f>
        <v>53768</v>
      </c>
      <c r="D52" s="10">
        <f>B52*'Inputs &amp; Parameters'!$B$19</f>
        <v>2064691.2000000002</v>
      </c>
      <c r="E52" s="9"/>
      <c r="F52" s="16">
        <f>D52*'Truck Diversion (No Build)- Dry'!$B$18</f>
        <v>2725392.3840000005</v>
      </c>
      <c r="G52" s="16">
        <f>D52*'Truck Diversion (No Build)- Dry'!$B$18*VLOOKUP($A52,NPV!$B$3:$D$44,2,0)</f>
        <v>2070623.0794797624</v>
      </c>
      <c r="H52" s="16">
        <f t="shared" si="21"/>
        <v>1964976</v>
      </c>
      <c r="I52" s="16">
        <f>H52*VLOOKUP($A52,NPV!$B$3:$D$44,2,0)</f>
        <v>1492894.9974727107</v>
      </c>
      <c r="J52" s="16">
        <f>D52*'Truck Diversion (No Build)- Dry'!$B$19</f>
        <v>103234.56000000001</v>
      </c>
      <c r="K52" s="16">
        <f>D52*'Truck Diversion (No Build)- Dry'!$B$19*VLOOKUP($A52,NPV!$B$3:$D$44,2,0)</f>
        <v>78432.692404536443</v>
      </c>
      <c r="L52" s="16">
        <f t="shared" si="22"/>
        <v>4793602.9440000001</v>
      </c>
      <c r="M52" s="16">
        <f t="shared" si="23"/>
        <v>3641950.7693570098</v>
      </c>
      <c r="N52" s="8"/>
      <c r="O52" s="16">
        <f t="shared" si="24"/>
        <v>621472.05119999999</v>
      </c>
      <c r="P52" s="16">
        <f>D52*$B$17*VLOOKUP($A52,NPV!$B$3:$D$44,3,0)</f>
        <v>520020.01143428241</v>
      </c>
      <c r="Q52" s="16">
        <f t="shared" si="25"/>
        <v>72264.19200000001</v>
      </c>
      <c r="R52" s="16">
        <f>D52*$B$16*VLOOKUP($A52,NPV!$B$3:$D$44,2,0)</f>
        <v>54902.884683175515</v>
      </c>
      <c r="S52" s="16">
        <f t="shared" si="26"/>
        <v>693736.24320000003</v>
      </c>
      <c r="T52" s="16">
        <f t="shared" si="27"/>
        <v>574922.89611745789</v>
      </c>
      <c r="V52" s="16">
        <f t="shared" si="28"/>
        <v>487267.12320000003</v>
      </c>
      <c r="W52" s="16">
        <f>D52*$B$13*VLOOKUP($A52,NPV!$B$3:$D$44,2,0)</f>
        <v>370202.30814941198</v>
      </c>
      <c r="X52" s="16">
        <f t="shared" si="29"/>
        <v>45423.206400000003</v>
      </c>
      <c r="Y52" s="16">
        <f>D52*$B$14*VLOOKUP($A52,NPV!$B$3:$D$44,2,0)</f>
        <v>34510.384657996037</v>
      </c>
      <c r="Z52" s="16">
        <f t="shared" si="30"/>
        <v>43358.515200000009</v>
      </c>
      <c r="AA52" s="16">
        <f>D52*$B$15*VLOOKUP($A52,NPV!$B$3:$D$44,2,0)</f>
        <v>32941.730809905312</v>
      </c>
      <c r="AB52" s="16">
        <f t="shared" si="31"/>
        <v>576048.84480000008</v>
      </c>
      <c r="AC52" s="16">
        <f t="shared" si="32"/>
        <v>437654.42361731338</v>
      </c>
      <c r="AE52" s="16">
        <f t="shared" si="33"/>
        <v>6063388.0320000006</v>
      </c>
      <c r="AF52" s="16">
        <f>SUM(M52,T52,AC52)</f>
        <v>4654528.0890917815</v>
      </c>
      <c r="AI52" s="61"/>
      <c r="AJ52" s="61"/>
      <c r="AK52" s="61"/>
    </row>
    <row r="53" spans="1:37" x14ac:dyDescent="0.25">
      <c r="A53" s="5">
        <f t="shared" si="35"/>
        <v>2032</v>
      </c>
      <c r="B53" s="10">
        <f t="shared" si="20"/>
        <v>14664</v>
      </c>
      <c r="C53" s="10">
        <f>B53*'Inputs &amp; Parameters'!$C$19/60</f>
        <v>53768</v>
      </c>
      <c r="D53" s="10">
        <f>B53*'Inputs &amp; Parameters'!$B$19</f>
        <v>2064691.2000000002</v>
      </c>
      <c r="E53" s="9"/>
      <c r="F53" s="16">
        <f>D53*'Truck Diversion (No Build)- Dry'!$B$18</f>
        <v>2725392.3840000005</v>
      </c>
      <c r="G53" s="16">
        <f>D53*'Truck Diversion (No Build)- Dry'!$B$18*VLOOKUP($A53,NPV!$B$3:$D$44,2,0)</f>
        <v>2008363.8016292555</v>
      </c>
      <c r="H53" s="16">
        <f t="shared" si="21"/>
        <v>1964976</v>
      </c>
      <c r="I53" s="16">
        <f>H53*VLOOKUP($A53,NPV!$B$3:$D$44,2,0)</f>
        <v>1448006.7870734343</v>
      </c>
      <c r="J53" s="16">
        <f>D53*'Truck Diversion (No Build)- Dry'!$B$19</f>
        <v>103234.56000000001</v>
      </c>
      <c r="K53" s="16">
        <f>D53*'Truck Diversion (No Build)- Dry'!$B$19*VLOOKUP($A53,NPV!$B$3:$D$44,2,0)</f>
        <v>76074.386425350589</v>
      </c>
      <c r="L53" s="16">
        <f t="shared" si="22"/>
        <v>4793602.9440000001</v>
      </c>
      <c r="M53" s="16">
        <f t="shared" si="23"/>
        <v>3532444.9751280406</v>
      </c>
      <c r="N53" s="8"/>
      <c r="O53" s="16">
        <f t="shared" si="24"/>
        <v>621472.05119999999</v>
      </c>
      <c r="P53" s="16">
        <f>D53*$B$17*VLOOKUP($A53,NPV!$B$3:$D$44,3,0)</f>
        <v>509823.54062184546</v>
      </c>
      <c r="Q53" s="16">
        <f t="shared" si="25"/>
        <v>72264.19200000001</v>
      </c>
      <c r="R53" s="16">
        <f>D53*$B$16*VLOOKUP($A53,NPV!$B$3:$D$44,2,0)</f>
        <v>53252.070497745408</v>
      </c>
      <c r="S53" s="16">
        <f t="shared" si="26"/>
        <v>693736.24320000003</v>
      </c>
      <c r="T53" s="16">
        <f t="shared" si="27"/>
        <v>563075.61111959082</v>
      </c>
      <c r="V53" s="16">
        <f t="shared" si="28"/>
        <v>487267.12320000003</v>
      </c>
      <c r="W53" s="16">
        <f>D53*$B$13*VLOOKUP($A53,NPV!$B$3:$D$44,2,0)</f>
        <v>359071.10392765474</v>
      </c>
      <c r="X53" s="16">
        <f t="shared" si="29"/>
        <v>45423.206400000003</v>
      </c>
      <c r="Y53" s="16">
        <f>D53*$B$14*VLOOKUP($A53,NPV!$B$3:$D$44,2,0)</f>
        <v>33472.730027154255</v>
      </c>
      <c r="Z53" s="16">
        <f t="shared" si="30"/>
        <v>43358.515200000009</v>
      </c>
      <c r="AA53" s="16">
        <f>D53*$B$15*VLOOKUP($A53,NPV!$B$3:$D$44,2,0)</f>
        <v>31951.242298647248</v>
      </c>
      <c r="AB53" s="16">
        <f t="shared" si="31"/>
        <v>576048.84480000008</v>
      </c>
      <c r="AC53" s="16">
        <f t="shared" si="32"/>
        <v>424495.07625345624</v>
      </c>
      <c r="AE53" s="16">
        <f t="shared" si="33"/>
        <v>6063388.0320000006</v>
      </c>
      <c r="AF53" s="16">
        <f t="shared" si="34"/>
        <v>4520015.6625010874</v>
      </c>
      <c r="AI53" s="61"/>
      <c r="AJ53" s="61"/>
      <c r="AK53" s="61"/>
    </row>
    <row r="54" spans="1:37" x14ac:dyDescent="0.25">
      <c r="A54" s="5">
        <f t="shared" si="35"/>
        <v>2033</v>
      </c>
      <c r="B54" s="10">
        <f t="shared" si="20"/>
        <v>14664</v>
      </c>
      <c r="C54" s="10">
        <f>B54*'Inputs &amp; Parameters'!$C$19/60</f>
        <v>53768</v>
      </c>
      <c r="D54" s="10">
        <f>B54*'Inputs &amp; Parameters'!$B$19</f>
        <v>2064691.2000000002</v>
      </c>
      <c r="E54" s="9"/>
      <c r="F54" s="16">
        <f>D54*'Truck Diversion (No Build)- Dry'!$B$18</f>
        <v>2725392.3840000005</v>
      </c>
      <c r="G54" s="16">
        <f>D54*'Truck Diversion (No Build)- Dry'!$B$18*VLOOKUP($A54,NPV!$B$3:$D$44,2,0)</f>
        <v>1947976.5292233324</v>
      </c>
      <c r="H54" s="16">
        <f t="shared" si="21"/>
        <v>1964976</v>
      </c>
      <c r="I54" s="16">
        <f>H54*VLOOKUP($A54,NPV!$B$3:$D$44,2,0)</f>
        <v>1404468.2706822837</v>
      </c>
      <c r="J54" s="16">
        <f>D54*'Truck Diversion (No Build)- Dry'!$B$19</f>
        <v>103234.56000000001</v>
      </c>
      <c r="K54" s="16">
        <f>D54*'Truck Diversion (No Build)- Dry'!$B$19*VLOOKUP($A54,NPV!$B$3:$D$44,2,0)</f>
        <v>73786.989743308048</v>
      </c>
      <c r="L54" s="16">
        <f t="shared" si="22"/>
        <v>4793602.9440000001</v>
      </c>
      <c r="M54" s="16">
        <f t="shared" si="23"/>
        <v>3426231.789648924</v>
      </c>
      <c r="N54" s="8"/>
      <c r="O54" s="16">
        <f t="shared" si="24"/>
        <v>621472.05119999999</v>
      </c>
      <c r="P54" s="16">
        <f>D54*$B$17*VLOOKUP($A54,NPV!$B$3:$D$44,3,0)</f>
        <v>499827.00060965249</v>
      </c>
      <c r="Q54" s="16">
        <f t="shared" si="25"/>
        <v>72264.19200000001</v>
      </c>
      <c r="R54" s="16">
        <f>D54*$B$16*VLOOKUP($A54,NPV!$B$3:$D$44,2,0)</f>
        <v>51650.892820315632</v>
      </c>
      <c r="S54" s="16">
        <f t="shared" si="26"/>
        <v>693736.24320000003</v>
      </c>
      <c r="T54" s="16">
        <f t="shared" si="27"/>
        <v>551477.89342996816</v>
      </c>
      <c r="V54" s="16">
        <f t="shared" si="28"/>
        <v>487267.12320000003</v>
      </c>
      <c r="W54" s="16">
        <f>D54*$B$13*VLOOKUP($A54,NPV!$B$3:$D$44,2,0)</f>
        <v>348274.59158841392</v>
      </c>
      <c r="X54" s="16">
        <f t="shared" si="29"/>
        <v>45423.206400000003</v>
      </c>
      <c r="Y54" s="16">
        <f>D54*$B$14*VLOOKUP($A54,NPV!$B$3:$D$44,2,0)</f>
        <v>32466.275487055536</v>
      </c>
      <c r="Z54" s="16">
        <f t="shared" si="30"/>
        <v>43358.515200000009</v>
      </c>
      <c r="AA54" s="16">
        <f>D54*$B$15*VLOOKUP($A54,NPV!$B$3:$D$44,2,0)</f>
        <v>30990.53569218938</v>
      </c>
      <c r="AB54" s="16">
        <f t="shared" si="31"/>
        <v>576048.84480000008</v>
      </c>
      <c r="AC54" s="16">
        <f t="shared" si="32"/>
        <v>411731.40276765882</v>
      </c>
      <c r="AE54" s="16">
        <f t="shared" si="33"/>
        <v>6063388.0320000006</v>
      </c>
      <c r="AF54" s="16">
        <f t="shared" si="34"/>
        <v>4389441.0858465508</v>
      </c>
      <c r="AI54" s="61"/>
      <c r="AJ54" s="61"/>
      <c r="AK54" s="61"/>
    </row>
    <row r="55" spans="1:37" x14ac:dyDescent="0.25">
      <c r="A55" s="5">
        <f t="shared" si="35"/>
        <v>2034</v>
      </c>
      <c r="B55" s="10">
        <f t="shared" si="20"/>
        <v>14664</v>
      </c>
      <c r="C55" s="10">
        <f>B55*'Inputs &amp; Parameters'!$C$19/60</f>
        <v>53768</v>
      </c>
      <c r="D55" s="10">
        <f>B55*'Inputs &amp; Parameters'!$B$19</f>
        <v>2064691.2000000002</v>
      </c>
      <c r="E55" s="9"/>
      <c r="F55" s="16">
        <f>D55*'Truck Diversion (No Build)- Dry'!$B$18</f>
        <v>2725392.3840000005</v>
      </c>
      <c r="G55" s="16">
        <f>D55*'Truck Diversion (No Build)- Dry'!$B$18*VLOOKUP($A55,NPV!$B$3:$D$44,2,0)</f>
        <v>1889404.9749983826</v>
      </c>
      <c r="H55" s="16">
        <f t="shared" si="21"/>
        <v>1964976</v>
      </c>
      <c r="I55" s="16">
        <f>H55*VLOOKUP($A55,NPV!$B$3:$D$44,2,0)</f>
        <v>1362238.8658412062</v>
      </c>
      <c r="J55" s="16">
        <f>D55*'Truck Diversion (No Build)- Dry'!$B$19</f>
        <v>103234.56000000001</v>
      </c>
      <c r="K55" s="16">
        <f>D55*'Truck Diversion (No Build)- Dry'!$B$19*VLOOKUP($A55,NPV!$B$3:$D$44,2,0)</f>
        <v>71568.370265090241</v>
      </c>
      <c r="L55" s="16">
        <f t="shared" si="22"/>
        <v>4793602.9440000001</v>
      </c>
      <c r="M55" s="16">
        <f t="shared" si="23"/>
        <v>3323212.2111046794</v>
      </c>
      <c r="N55" s="8"/>
      <c r="O55" s="16">
        <f t="shared" si="24"/>
        <v>621472.05119999999</v>
      </c>
      <c r="P55" s="16">
        <f>D55*$B$17*VLOOKUP($A55,NPV!$B$3:$D$44,3,0)</f>
        <v>490026.47118593374</v>
      </c>
      <c r="Q55" s="16">
        <f t="shared" si="25"/>
        <v>72264.19200000001</v>
      </c>
      <c r="R55" s="16">
        <f>D55*$B$16*VLOOKUP($A55,NPV!$B$3:$D$44,2,0)</f>
        <v>50097.859185563168</v>
      </c>
      <c r="S55" s="16">
        <f t="shared" si="26"/>
        <v>693736.24320000003</v>
      </c>
      <c r="T55" s="16">
        <f t="shared" si="27"/>
        <v>540124.33037149697</v>
      </c>
      <c r="V55" s="16">
        <f t="shared" si="28"/>
        <v>487267.12320000003</v>
      </c>
      <c r="W55" s="16">
        <f>D55*$B$13*VLOOKUP($A55,NPV!$B$3:$D$44,2,0)</f>
        <v>337802.70765122591</v>
      </c>
      <c r="X55" s="16">
        <f t="shared" si="29"/>
        <v>45423.206400000003</v>
      </c>
      <c r="Y55" s="16">
        <f>D55*$B$14*VLOOKUP($A55,NPV!$B$3:$D$44,2,0)</f>
        <v>31490.082916639705</v>
      </c>
      <c r="Z55" s="16">
        <f t="shared" si="30"/>
        <v>43358.515200000009</v>
      </c>
      <c r="AA55" s="16">
        <f>D55*$B$15*VLOOKUP($A55,NPV!$B$3:$D$44,2,0)</f>
        <v>30058.715511337905</v>
      </c>
      <c r="AB55" s="16">
        <f t="shared" si="31"/>
        <v>576048.84480000008</v>
      </c>
      <c r="AC55" s="16">
        <f t="shared" si="32"/>
        <v>399351.50607920351</v>
      </c>
      <c r="AE55" s="16">
        <f t="shared" si="33"/>
        <v>6063388.0320000006</v>
      </c>
      <c r="AF55" s="16">
        <f t="shared" si="34"/>
        <v>4262688.0475553796</v>
      </c>
      <c r="AI55" s="61"/>
      <c r="AJ55" s="61"/>
      <c r="AK55" s="61"/>
    </row>
    <row r="56" spans="1:37" x14ac:dyDescent="0.25">
      <c r="A56" s="5">
        <f t="shared" si="35"/>
        <v>2035</v>
      </c>
      <c r="B56" s="10">
        <f t="shared" si="20"/>
        <v>14664</v>
      </c>
      <c r="C56" s="10">
        <f>B56*'Inputs &amp; Parameters'!$C$19/60</f>
        <v>53768</v>
      </c>
      <c r="D56" s="10">
        <f>B56*'Inputs &amp; Parameters'!$B$19</f>
        <v>2064691.2000000002</v>
      </c>
      <c r="E56" s="9"/>
      <c r="F56" s="16">
        <f>D56*'Truck Diversion (No Build)- Dry'!$B$18</f>
        <v>2725392.3840000005</v>
      </c>
      <c r="G56" s="16">
        <f>D56*'Truck Diversion (No Build)- Dry'!$B$18*VLOOKUP($A56,NPV!$B$3:$D$44,2,0)</f>
        <v>1832594.5441303421</v>
      </c>
      <c r="H56" s="16">
        <f t="shared" si="21"/>
        <v>1964976</v>
      </c>
      <c r="I56" s="16">
        <f>H56*VLOOKUP($A56,NPV!$B$3:$D$44,2,0)</f>
        <v>1321279.2103212476</v>
      </c>
      <c r="J56" s="16">
        <f>D56*'Truck Diversion (No Build)- Dry'!$B$19</f>
        <v>103234.56000000001</v>
      </c>
      <c r="K56" s="16">
        <f>D56*'Truck Diversion (No Build)- Dry'!$B$19*VLOOKUP($A56,NPV!$B$3:$D$44,2,0)</f>
        <v>69416.460004937195</v>
      </c>
      <c r="L56" s="16">
        <f t="shared" si="22"/>
        <v>4793602.9440000001</v>
      </c>
      <c r="M56" s="16">
        <f t="shared" si="23"/>
        <v>3223290.214456527</v>
      </c>
      <c r="N56" s="8"/>
      <c r="O56" s="16">
        <f t="shared" si="24"/>
        <v>621472.05119999999</v>
      </c>
      <c r="P56" s="16">
        <f>D56*$B$17*VLOOKUP($A56,NPV!$B$3:$D$44,3,0)</f>
        <v>480418.10900581744</v>
      </c>
      <c r="Q56" s="16">
        <f t="shared" si="25"/>
        <v>72264.19200000001</v>
      </c>
      <c r="R56" s="16">
        <f>D56*$B$16*VLOOKUP($A56,NPV!$B$3:$D$44,2,0)</f>
        <v>48591.522003456033</v>
      </c>
      <c r="S56" s="16">
        <f t="shared" si="26"/>
        <v>693736.24320000003</v>
      </c>
      <c r="T56" s="16">
        <f t="shared" si="27"/>
        <v>529009.63100927346</v>
      </c>
      <c r="V56" s="16">
        <f t="shared" si="28"/>
        <v>487267.12320000003</v>
      </c>
      <c r="W56" s="16">
        <f>D56*$B$13*VLOOKUP($A56,NPV!$B$3:$D$44,2,0)</f>
        <v>327645.69122330355</v>
      </c>
      <c r="X56" s="16">
        <f t="shared" si="29"/>
        <v>45423.206400000003</v>
      </c>
      <c r="Y56" s="16">
        <f>D56*$B$14*VLOOKUP($A56,NPV!$B$3:$D$44,2,0)</f>
        <v>30543.242402172364</v>
      </c>
      <c r="Z56" s="16">
        <f t="shared" si="30"/>
        <v>43358.515200000009</v>
      </c>
      <c r="AA56" s="16">
        <f>D56*$B$15*VLOOKUP($A56,NPV!$B$3:$D$44,2,0)</f>
        <v>29154.913202073622</v>
      </c>
      <c r="AB56" s="16">
        <f t="shared" si="31"/>
        <v>576048.84480000008</v>
      </c>
      <c r="AC56" s="16">
        <f t="shared" si="32"/>
        <v>387343.84682754951</v>
      </c>
      <c r="AE56" s="16">
        <f t="shared" si="33"/>
        <v>6063388.0320000006</v>
      </c>
      <c r="AF56" s="16">
        <f t="shared" si="34"/>
        <v>4139643.6922933501</v>
      </c>
      <c r="AI56" s="61"/>
      <c r="AJ56" s="61"/>
      <c r="AK56" s="61"/>
    </row>
    <row r="57" spans="1:37" x14ac:dyDescent="0.25">
      <c r="A57" s="5">
        <f t="shared" si="35"/>
        <v>2036</v>
      </c>
      <c r="B57" s="10">
        <f t="shared" si="20"/>
        <v>14664</v>
      </c>
      <c r="C57" s="10">
        <f>B57*'Inputs &amp; Parameters'!$C$19/60</f>
        <v>53768</v>
      </c>
      <c r="D57" s="10">
        <f>B57*'Inputs &amp; Parameters'!$B$19</f>
        <v>2064691.2000000002</v>
      </c>
      <c r="E57" s="9"/>
      <c r="F57" s="16">
        <f>D57*'Truck Diversion (No Build)- Dry'!$B$18</f>
        <v>2725392.3840000005</v>
      </c>
      <c r="G57" s="16">
        <f>D57*'Truck Diversion (No Build)- Dry'!$B$18*VLOOKUP($A57,NPV!$B$3:$D$44,2,0)</f>
        <v>1777492.2833465978</v>
      </c>
      <c r="H57" s="16">
        <f t="shared" si="21"/>
        <v>1964976</v>
      </c>
      <c r="I57" s="16">
        <f>H57*VLOOKUP($A57,NPV!$B$3:$D$44,2,0)</f>
        <v>1281551.1254328301</v>
      </c>
      <c r="J57" s="16">
        <f>D57*'Truck Diversion (No Build)- Dry'!$B$19</f>
        <v>103234.56000000001</v>
      </c>
      <c r="K57" s="16">
        <f>D57*'Truck Diversion (No Build)- Dry'!$B$19*VLOOKUP($A57,NPV!$B$3:$D$44,2,0)</f>
        <v>67329.253157068088</v>
      </c>
      <c r="L57" s="16">
        <f t="shared" si="22"/>
        <v>4793602.9440000001</v>
      </c>
      <c r="M57" s="16">
        <f t="shared" si="23"/>
        <v>3126372.6619364959</v>
      </c>
      <c r="N57" s="8"/>
      <c r="O57" s="16">
        <f t="shared" si="24"/>
        <v>621472.05119999999</v>
      </c>
      <c r="P57" s="16">
        <f>D57*$B$17*VLOOKUP($A57,NPV!$B$3:$D$44,3,0)</f>
        <v>470998.1460841347</v>
      </c>
      <c r="Q57" s="16">
        <f t="shared" si="25"/>
        <v>72264.19200000001</v>
      </c>
      <c r="R57" s="16">
        <f>D57*$B$16*VLOOKUP($A57,NPV!$B$3:$D$44,2,0)</f>
        <v>47130.477209947669</v>
      </c>
      <c r="S57" s="16">
        <f t="shared" si="26"/>
        <v>693736.24320000003</v>
      </c>
      <c r="T57" s="16">
        <f t="shared" si="27"/>
        <v>518128.62329408235</v>
      </c>
      <c r="V57" s="16">
        <f t="shared" si="28"/>
        <v>487267.12320000003</v>
      </c>
      <c r="W57" s="16">
        <f>D57*$B$13*VLOOKUP($A57,NPV!$B$3:$D$44,2,0)</f>
        <v>317794.07490136137</v>
      </c>
      <c r="X57" s="16">
        <f t="shared" si="29"/>
        <v>45423.206400000003</v>
      </c>
      <c r="Y57" s="16">
        <f>D57*$B$14*VLOOKUP($A57,NPV!$B$3:$D$44,2,0)</f>
        <v>29624.871389109958</v>
      </c>
      <c r="Z57" s="16">
        <f t="shared" si="30"/>
        <v>43358.515200000009</v>
      </c>
      <c r="AA57" s="16">
        <f>D57*$B$15*VLOOKUP($A57,NPV!$B$3:$D$44,2,0)</f>
        <v>28278.286325968602</v>
      </c>
      <c r="AB57" s="16">
        <f t="shared" si="31"/>
        <v>576048.84480000008</v>
      </c>
      <c r="AC57" s="16">
        <f t="shared" si="32"/>
        <v>375697.23261643993</v>
      </c>
      <c r="AE57" s="16">
        <f t="shared" si="33"/>
        <v>6063388.0320000006</v>
      </c>
      <c r="AF57" s="16">
        <f t="shared" si="34"/>
        <v>4020198.5178470183</v>
      </c>
      <c r="AI57" s="61"/>
      <c r="AJ57" s="61"/>
      <c r="AK57" s="61"/>
    </row>
    <row r="58" spans="1:37" x14ac:dyDescent="0.25">
      <c r="A58" s="5">
        <f t="shared" si="35"/>
        <v>2037</v>
      </c>
      <c r="B58" s="10">
        <f t="shared" si="20"/>
        <v>14664</v>
      </c>
      <c r="C58" s="10">
        <f>B58*'Inputs &amp; Parameters'!$C$19/60</f>
        <v>53768</v>
      </c>
      <c r="D58" s="10">
        <f>B58*'Inputs &amp; Parameters'!$B$19</f>
        <v>2064691.2000000002</v>
      </c>
      <c r="E58" s="9"/>
      <c r="F58" s="16">
        <f>D58*'Truck Diversion (No Build)- Dry'!$B$18</f>
        <v>2725392.3840000005</v>
      </c>
      <c r="G58" s="16">
        <f>D58*'Truck Diversion (No Build)- Dry'!$B$18*VLOOKUP($A58,NPV!$B$3:$D$44,2,0)</f>
        <v>1724046.8315679901</v>
      </c>
      <c r="H58" s="16">
        <f t="shared" si="21"/>
        <v>1964976</v>
      </c>
      <c r="I58" s="16">
        <f>H58*VLOOKUP($A58,NPV!$B$3:$D$44,2,0)</f>
        <v>1243017.5804392144</v>
      </c>
      <c r="J58" s="16">
        <f>D58*'Truck Diversion (No Build)- Dry'!$B$19</f>
        <v>103234.56000000001</v>
      </c>
      <c r="K58" s="16">
        <f>D58*'Truck Diversion (No Build)- Dry'!$B$19*VLOOKUP($A58,NPV!$B$3:$D$44,2,0)</f>
        <v>65304.804226060231</v>
      </c>
      <c r="L58" s="16">
        <f t="shared" si="22"/>
        <v>4793602.9440000001</v>
      </c>
      <c r="M58" s="16">
        <f t="shared" si="23"/>
        <v>3032369.2162332647</v>
      </c>
      <c r="N58" s="8"/>
      <c r="O58" s="16">
        <f t="shared" si="24"/>
        <v>621472.05119999999</v>
      </c>
      <c r="P58" s="16">
        <f>D58*$B$17*VLOOKUP($A58,NPV!$B$3:$D$44,3,0)</f>
        <v>461762.88831777923</v>
      </c>
      <c r="Q58" s="16">
        <f t="shared" si="25"/>
        <v>72264.19200000001</v>
      </c>
      <c r="R58" s="16">
        <f>D58*$B$16*VLOOKUP($A58,NPV!$B$3:$D$44,2,0)</f>
        <v>45713.362958242164</v>
      </c>
      <c r="S58" s="16">
        <f t="shared" si="26"/>
        <v>693736.24320000003</v>
      </c>
      <c r="T58" s="16">
        <f t="shared" si="27"/>
        <v>507476.25127602142</v>
      </c>
      <c r="V58" s="16">
        <f t="shared" si="28"/>
        <v>487267.12320000003</v>
      </c>
      <c r="W58" s="16">
        <f>D58*$B$13*VLOOKUP($A58,NPV!$B$3:$D$44,2,0)</f>
        <v>308238.67594700429</v>
      </c>
      <c r="X58" s="16">
        <f t="shared" si="29"/>
        <v>45423.206400000003</v>
      </c>
      <c r="Y58" s="16">
        <f>D58*$B$14*VLOOKUP($A58,NPV!$B$3:$D$44,2,0)</f>
        <v>28734.113859466499</v>
      </c>
      <c r="Z58" s="16">
        <f t="shared" si="30"/>
        <v>43358.515200000009</v>
      </c>
      <c r="AA58" s="16">
        <f>D58*$B$15*VLOOKUP($A58,NPV!$B$3:$D$44,2,0)</f>
        <v>27428.0177749453</v>
      </c>
      <c r="AB58" s="16">
        <f t="shared" si="31"/>
        <v>576048.84480000008</v>
      </c>
      <c r="AC58" s="16">
        <f t="shared" si="32"/>
        <v>364400.8075814161</v>
      </c>
      <c r="AE58" s="16">
        <f t="shared" si="33"/>
        <v>6063388.0320000006</v>
      </c>
      <c r="AF58" s="16">
        <f t="shared" si="34"/>
        <v>3904246.2750907019</v>
      </c>
      <c r="AI58" s="61"/>
      <c r="AJ58" s="61"/>
      <c r="AK58" s="61"/>
    </row>
    <row r="59" spans="1:37" x14ac:dyDescent="0.25">
      <c r="A59" s="5">
        <f t="shared" si="35"/>
        <v>2038</v>
      </c>
      <c r="B59" s="10">
        <f t="shared" si="20"/>
        <v>14664</v>
      </c>
      <c r="C59" s="10">
        <f>B59*'Inputs &amp; Parameters'!$C$19/60</f>
        <v>53768</v>
      </c>
      <c r="D59" s="10">
        <f>B59*'Inputs &amp; Parameters'!$B$19</f>
        <v>2064691.2000000002</v>
      </c>
      <c r="E59" s="9"/>
      <c r="F59" s="16">
        <f>D59*'Truck Diversion (No Build)- Dry'!$B$18</f>
        <v>2725392.3840000005</v>
      </c>
      <c r="G59" s="16">
        <f>D59*'Truck Diversion (No Build)- Dry'!$B$18*VLOOKUP($A59,NPV!$B$3:$D$44,2,0)</f>
        <v>1672208.3720349078</v>
      </c>
      <c r="H59" s="16">
        <f t="shared" si="21"/>
        <v>1964976</v>
      </c>
      <c r="I59" s="16">
        <f>H59*VLOOKUP($A59,NPV!$B$3:$D$44,2,0)</f>
        <v>1205642.658039975</v>
      </c>
      <c r="J59" s="16">
        <f>D59*'Truck Diversion (No Build)- Dry'!$B$19</f>
        <v>103234.56000000001</v>
      </c>
      <c r="K59" s="16">
        <f>D59*'Truck Diversion (No Build)- Dry'!$B$19*VLOOKUP($A59,NPV!$B$3:$D$44,2,0)</f>
        <v>63341.226213443471</v>
      </c>
      <c r="L59" s="16">
        <f t="shared" si="22"/>
        <v>4793602.9440000001</v>
      </c>
      <c r="M59" s="16">
        <f t="shared" si="23"/>
        <v>2941192.2562883263</v>
      </c>
      <c r="N59" s="8"/>
      <c r="O59" s="16">
        <f t="shared" si="24"/>
        <v>621472.05119999999</v>
      </c>
      <c r="P59" s="16">
        <f>D59*$B$17*VLOOKUP($A59,NPV!$B$3:$D$44,3,0)</f>
        <v>452708.71403703839</v>
      </c>
      <c r="Q59" s="16">
        <f t="shared" si="25"/>
        <v>72264.19200000001</v>
      </c>
      <c r="R59" s="16">
        <f>D59*$B$16*VLOOKUP($A59,NPV!$B$3:$D$44,2,0)</f>
        <v>44338.858349410431</v>
      </c>
      <c r="S59" s="16">
        <f t="shared" si="26"/>
        <v>693736.24320000003</v>
      </c>
      <c r="T59" s="16">
        <f t="shared" si="27"/>
        <v>497047.5723864488</v>
      </c>
      <c r="V59" s="16">
        <f t="shared" si="28"/>
        <v>487267.12320000003</v>
      </c>
      <c r="W59" s="16">
        <f>D59*$B$13*VLOOKUP($A59,NPV!$B$3:$D$44,2,0)</f>
        <v>298970.58772745321</v>
      </c>
      <c r="X59" s="16">
        <f t="shared" si="29"/>
        <v>45423.206400000003</v>
      </c>
      <c r="Y59" s="16">
        <f>D59*$B$14*VLOOKUP($A59,NPV!$B$3:$D$44,2,0)</f>
        <v>27870.139533915128</v>
      </c>
      <c r="Z59" s="16">
        <f t="shared" si="30"/>
        <v>43358.515200000009</v>
      </c>
      <c r="AA59" s="16">
        <f>D59*$B$15*VLOOKUP($A59,NPV!$B$3:$D$44,2,0)</f>
        <v>26603.315009646263</v>
      </c>
      <c r="AB59" s="16">
        <f t="shared" si="31"/>
        <v>576048.84480000008</v>
      </c>
      <c r="AC59" s="16">
        <f t="shared" si="32"/>
        <v>353444.04227101465</v>
      </c>
      <c r="AE59" s="16">
        <f t="shared" si="33"/>
        <v>6063388.0320000006</v>
      </c>
      <c r="AF59" s="16">
        <f t="shared" si="34"/>
        <v>3791683.8709457899</v>
      </c>
      <c r="AI59" s="61"/>
      <c r="AJ59" s="61"/>
      <c r="AK59" s="61"/>
    </row>
    <row r="60" spans="1:37" x14ac:dyDescent="0.25">
      <c r="A60" s="5">
        <f t="shared" si="35"/>
        <v>2039</v>
      </c>
      <c r="B60" s="10">
        <f t="shared" si="20"/>
        <v>14664</v>
      </c>
      <c r="C60" s="10">
        <f>B60*'Inputs &amp; Parameters'!$C$19/60</f>
        <v>53768</v>
      </c>
      <c r="D60" s="10">
        <f>B60*'Inputs &amp; Parameters'!$B$19</f>
        <v>2064691.2000000002</v>
      </c>
      <c r="E60" s="9"/>
      <c r="F60" s="16">
        <f>D60*'Truck Diversion (No Build)- Dry'!$B$18</f>
        <v>2725392.3840000005</v>
      </c>
      <c r="G60" s="16">
        <f>D60*'Truck Diversion (No Build)- Dry'!$B$18*VLOOKUP($A60,NPV!$B$3:$D$44,2,0)</f>
        <v>1621928.5858728494</v>
      </c>
      <c r="H60" s="16">
        <f t="shared" si="21"/>
        <v>1964976</v>
      </c>
      <c r="I60" s="16">
        <f>H60*VLOOKUP($A60,NPV!$B$3:$D$44,2,0)</f>
        <v>1169391.5208923134</v>
      </c>
      <c r="J60" s="16">
        <f>D60*'Truck Diversion (No Build)- Dry'!$B$19</f>
        <v>103234.56000000001</v>
      </c>
      <c r="K60" s="16">
        <f>D60*'Truck Diversion (No Build)- Dry'!$B$19*VLOOKUP($A60,NPV!$B$3:$D$44,2,0)</f>
        <v>61436.688858820053</v>
      </c>
      <c r="L60" s="16">
        <f t="shared" si="22"/>
        <v>4793602.9440000001</v>
      </c>
      <c r="M60" s="16">
        <f t="shared" si="23"/>
        <v>2852756.7956239833</v>
      </c>
      <c r="N60" s="8"/>
      <c r="O60" s="16">
        <f t="shared" si="24"/>
        <v>621472.05119999999</v>
      </c>
      <c r="P60" s="16">
        <f>D60*$B$17*VLOOKUP($A60,NPV!$B$3:$D$44,3,0)</f>
        <v>443832.07258533168</v>
      </c>
      <c r="Q60" s="16">
        <f t="shared" si="25"/>
        <v>72264.19200000001</v>
      </c>
      <c r="R60" s="16">
        <f>D60*$B$16*VLOOKUP($A60,NPV!$B$3:$D$44,2,0)</f>
        <v>43005.682201174037</v>
      </c>
      <c r="S60" s="16">
        <f t="shared" si="26"/>
        <v>693736.24320000003</v>
      </c>
      <c r="T60" s="16">
        <f t="shared" si="27"/>
        <v>486837.75478650571</v>
      </c>
      <c r="V60" s="16">
        <f t="shared" si="28"/>
        <v>487267.12320000003</v>
      </c>
      <c r="W60" s="16">
        <f>D60*$B$13*VLOOKUP($A60,NPV!$B$3:$D$44,2,0)</f>
        <v>289981.17141363065</v>
      </c>
      <c r="X60" s="16">
        <f t="shared" si="29"/>
        <v>45423.206400000003</v>
      </c>
      <c r="Y60" s="16">
        <f>D60*$B$14*VLOOKUP($A60,NPV!$B$3:$D$44,2,0)</f>
        <v>27032.14309788082</v>
      </c>
      <c r="Z60" s="16">
        <f t="shared" si="30"/>
        <v>43358.515200000009</v>
      </c>
      <c r="AA60" s="16">
        <f>D60*$B$15*VLOOKUP($A60,NPV!$B$3:$D$44,2,0)</f>
        <v>25803.409320704424</v>
      </c>
      <c r="AB60" s="16">
        <f t="shared" si="31"/>
        <v>576048.84480000008</v>
      </c>
      <c r="AC60" s="16">
        <f t="shared" si="32"/>
        <v>342816.72383221588</v>
      </c>
      <c r="AE60" s="16">
        <f t="shared" si="33"/>
        <v>6063388.0320000006</v>
      </c>
      <c r="AF60" s="16">
        <f t="shared" si="34"/>
        <v>3682411.2742427047</v>
      </c>
      <c r="AI60" s="61"/>
      <c r="AJ60" s="61"/>
      <c r="AK60" s="61"/>
    </row>
    <row r="61" spans="1:37" x14ac:dyDescent="0.25">
      <c r="A61" s="5">
        <f t="shared" si="35"/>
        <v>2040</v>
      </c>
      <c r="B61" s="10">
        <f t="shared" si="20"/>
        <v>14664</v>
      </c>
      <c r="C61" s="10">
        <f>B61*'Inputs &amp; Parameters'!$C$19/60</f>
        <v>53768</v>
      </c>
      <c r="D61" s="10">
        <f>B61*'Inputs &amp; Parameters'!$B$19</f>
        <v>2064691.2000000002</v>
      </c>
      <c r="E61" s="9"/>
      <c r="F61" s="16">
        <f>D61*'Truck Diversion (No Build)- Dry'!$B$18</f>
        <v>2725392.3840000005</v>
      </c>
      <c r="G61" s="16">
        <f>D61*'Truck Diversion (No Build)- Dry'!$B$18*VLOOKUP($A61,NPV!$B$3:$D$44,2,0)</f>
        <v>1573160.6070541705</v>
      </c>
      <c r="H61" s="16">
        <f t="shared" si="21"/>
        <v>1964976</v>
      </c>
      <c r="I61" s="16">
        <f>H61*VLOOKUP($A61,NPV!$B$3:$D$44,2,0)</f>
        <v>1134230.3791390045</v>
      </c>
      <c r="J61" s="16">
        <f>D61*'Truck Diversion (No Build)- Dry'!$B$19</f>
        <v>103234.56000000001</v>
      </c>
      <c r="K61" s="16">
        <f>D61*'Truck Diversion (No Build)- Dry'!$B$19*VLOOKUP($A61,NPV!$B$3:$D$44,2,0)</f>
        <v>59589.416933870089</v>
      </c>
      <c r="L61" s="16">
        <f t="shared" si="22"/>
        <v>4793602.9440000001</v>
      </c>
      <c r="M61" s="16">
        <f t="shared" si="23"/>
        <v>2766980.4031270449</v>
      </c>
      <c r="N61" s="8"/>
      <c r="O61" s="16">
        <f t="shared" si="24"/>
        <v>621472.05119999999</v>
      </c>
      <c r="P61" s="16">
        <f>D61*$B$17*VLOOKUP($A61,NPV!$B$3:$D$44,3,0)</f>
        <v>435129.48292679584</v>
      </c>
      <c r="Q61" s="16">
        <f t="shared" si="25"/>
        <v>72264.19200000001</v>
      </c>
      <c r="R61" s="16">
        <f>D61*$B$16*VLOOKUP($A61,NPV!$B$3:$D$44,2,0)</f>
        <v>41712.591853709062</v>
      </c>
      <c r="S61" s="16">
        <f t="shared" si="26"/>
        <v>693736.24320000003</v>
      </c>
      <c r="T61" s="16">
        <f t="shared" si="27"/>
        <v>476842.07478050492</v>
      </c>
      <c r="V61" s="16">
        <f t="shared" si="28"/>
        <v>487267.12320000003</v>
      </c>
      <c r="W61" s="16">
        <f>D61*$B$13*VLOOKUP($A61,NPV!$B$3:$D$44,2,0)</f>
        <v>281262.04792786681</v>
      </c>
      <c r="X61" s="16">
        <f t="shared" si="29"/>
        <v>45423.206400000003</v>
      </c>
      <c r="Y61" s="16">
        <f>D61*$B$14*VLOOKUP($A61,NPV!$B$3:$D$44,2,0)</f>
        <v>26219.343450902838</v>
      </c>
      <c r="Z61" s="16">
        <f t="shared" si="30"/>
        <v>43358.515200000009</v>
      </c>
      <c r="AA61" s="16">
        <f>D61*$B$15*VLOOKUP($A61,NPV!$B$3:$D$44,2,0)</f>
        <v>25027.55511222544</v>
      </c>
      <c r="AB61" s="16">
        <f t="shared" si="31"/>
        <v>576048.84480000008</v>
      </c>
      <c r="AC61" s="16">
        <f t="shared" si="32"/>
        <v>332508.94649099512</v>
      </c>
      <c r="AE61" s="16">
        <f t="shared" si="33"/>
        <v>6063388.0320000006</v>
      </c>
      <c r="AF61" s="16">
        <f t="shared" si="34"/>
        <v>3576331.4243985447</v>
      </c>
      <c r="AI61" s="61"/>
      <c r="AJ61" s="61"/>
      <c r="AK61" s="61"/>
    </row>
    <row r="62" spans="1:37" x14ac:dyDescent="0.25">
      <c r="A62" s="5">
        <f t="shared" si="35"/>
        <v>2041</v>
      </c>
      <c r="B62" s="10">
        <f t="shared" si="20"/>
        <v>14664</v>
      </c>
      <c r="C62" s="10">
        <f>B62*'Inputs &amp; Parameters'!$C$19/60</f>
        <v>53768</v>
      </c>
      <c r="D62" s="10">
        <f>B62*'Inputs &amp; Parameters'!$B$19</f>
        <v>2064691.2000000002</v>
      </c>
      <c r="E62" s="9"/>
      <c r="F62" s="16">
        <f>D62*'Truck Diversion (No Build)- Dry'!$B$18</f>
        <v>2725392.3840000005</v>
      </c>
      <c r="G62" s="16">
        <f>D62*'Truck Diversion (No Build)- Dry'!$B$18*VLOOKUP($A62,NPV!$B$3:$D$44,2,0)</f>
        <v>1525858.9787140356</v>
      </c>
      <c r="H62" s="16">
        <f t="shared" si="21"/>
        <v>1964976</v>
      </c>
      <c r="I62" s="16">
        <f>H62*VLOOKUP($A62,NPV!$B$3:$D$44,2,0)</f>
        <v>1100126.4589127104</v>
      </c>
      <c r="J62" s="16">
        <f>D62*'Truck Diversion (No Build)- Dry'!$B$19</f>
        <v>103234.56000000001</v>
      </c>
      <c r="K62" s="16">
        <f>D62*'Truck Diversion (No Build)- Dry'!$B$19*VLOOKUP($A62,NPV!$B$3:$D$44,2,0)</f>
        <v>57797.688587652854</v>
      </c>
      <c r="L62" s="16">
        <f t="shared" si="22"/>
        <v>4793602.9440000001</v>
      </c>
      <c r="M62" s="16">
        <f t="shared" si="23"/>
        <v>2683783.126214399</v>
      </c>
      <c r="N62" s="8"/>
      <c r="O62" s="16">
        <f t="shared" si="24"/>
        <v>621472.05119999999</v>
      </c>
      <c r="P62" s="16">
        <f>D62*$B$17*VLOOKUP($A62,NPV!$B$3:$D$44,3,0)</f>
        <v>426597.5322811724</v>
      </c>
      <c r="Q62" s="16">
        <f t="shared" si="25"/>
        <v>72264.19200000001</v>
      </c>
      <c r="R62" s="16">
        <f>D62*$B$16*VLOOKUP($A62,NPV!$B$3:$D$44,2,0)</f>
        <v>40458.382011357004</v>
      </c>
      <c r="S62" s="16">
        <f t="shared" si="26"/>
        <v>693736.24320000003</v>
      </c>
      <c r="T62" s="16">
        <f t="shared" si="27"/>
        <v>467055.9142925294</v>
      </c>
      <c r="V62" s="16">
        <f t="shared" si="28"/>
        <v>487267.12320000003</v>
      </c>
      <c r="W62" s="16">
        <f>D62*$B$13*VLOOKUP($A62,NPV!$B$3:$D$44,2,0)</f>
        <v>272805.09013372147</v>
      </c>
      <c r="X62" s="16">
        <f t="shared" si="29"/>
        <v>45423.206400000003</v>
      </c>
      <c r="Y62" s="16">
        <f>D62*$B$14*VLOOKUP($A62,NPV!$B$3:$D$44,2,0)</f>
        <v>25430.982978567255</v>
      </c>
      <c r="Z62" s="16">
        <f t="shared" si="30"/>
        <v>43358.515200000009</v>
      </c>
      <c r="AA62" s="16">
        <f>D62*$B$15*VLOOKUP($A62,NPV!$B$3:$D$44,2,0)</f>
        <v>24275.029206814201</v>
      </c>
      <c r="AB62" s="16">
        <f t="shared" si="31"/>
        <v>576048.84480000008</v>
      </c>
      <c r="AC62" s="16">
        <f t="shared" si="32"/>
        <v>322511.10231910291</v>
      </c>
      <c r="AE62" s="16">
        <f t="shared" si="33"/>
        <v>6063388.0320000006</v>
      </c>
      <c r="AF62" s="16">
        <f t="shared" si="34"/>
        <v>3473350.142826031</v>
      </c>
      <c r="AI62" s="61"/>
      <c r="AJ62" s="61"/>
      <c r="AK62" s="61"/>
    </row>
    <row r="63" spans="1:37" x14ac:dyDescent="0.25">
      <c r="A63" s="5">
        <f t="shared" si="35"/>
        <v>2042</v>
      </c>
      <c r="B63" s="10">
        <f t="shared" si="20"/>
        <v>14664</v>
      </c>
      <c r="C63" s="10">
        <f>B63*'Inputs &amp; Parameters'!$C$19/60</f>
        <v>53768</v>
      </c>
      <c r="D63" s="10">
        <f>B63*'Inputs &amp; Parameters'!$B$19</f>
        <v>2064691.2000000002</v>
      </c>
      <c r="E63" s="9"/>
      <c r="F63" s="16">
        <f>D63*'Truck Diversion (No Build)- Dry'!$B$18</f>
        <v>2725392.3840000005</v>
      </c>
      <c r="G63" s="16">
        <f>D63*'Truck Diversion (No Build)- Dry'!$B$18*VLOOKUP($A63,NPV!$B$3:$D$44,2,0)</f>
        <v>1479979.6107798601</v>
      </c>
      <c r="H63" s="16">
        <f t="shared" si="21"/>
        <v>1964976</v>
      </c>
      <c r="I63" s="16">
        <f>H63*VLOOKUP($A63,NPV!$B$3:$D$44,2,0)</f>
        <v>1067047.9717873042</v>
      </c>
      <c r="J63" s="16">
        <f>D63*'Truck Diversion (No Build)- Dry'!$B$19</f>
        <v>103234.56000000001</v>
      </c>
      <c r="K63" s="16">
        <f>D63*'Truck Diversion (No Build)- Dry'!$B$19*VLOOKUP($A63,NPV!$B$3:$D$44,2,0)</f>
        <v>56059.833741661358</v>
      </c>
      <c r="L63" s="16">
        <f t="shared" si="22"/>
        <v>4793602.9440000001</v>
      </c>
      <c r="M63" s="16">
        <f t="shared" si="23"/>
        <v>2603087.4163088254</v>
      </c>
      <c r="N63" s="8"/>
      <c r="O63" s="16">
        <f t="shared" si="24"/>
        <v>621472.05119999999</v>
      </c>
      <c r="P63" s="16">
        <f>D63*$B$17*VLOOKUP($A63,NPV!$B$3:$D$44,3,0)</f>
        <v>418232.87478546315</v>
      </c>
      <c r="Q63" s="16">
        <f t="shared" si="25"/>
        <v>72264.19200000001</v>
      </c>
      <c r="R63" s="16">
        <f>D63*$B$16*VLOOKUP($A63,NPV!$B$3:$D$44,2,0)</f>
        <v>39241.883619162953</v>
      </c>
      <c r="S63" s="16">
        <f t="shared" si="26"/>
        <v>693736.24320000003</v>
      </c>
      <c r="T63" s="16">
        <f t="shared" si="27"/>
        <v>457474.7584046261</v>
      </c>
      <c r="V63" s="16">
        <f t="shared" si="28"/>
        <v>487267.12320000003</v>
      </c>
      <c r="W63" s="16">
        <f>D63*$B$13*VLOOKUP($A63,NPV!$B$3:$D$44,2,0)</f>
        <v>264602.4152606416</v>
      </c>
      <c r="X63" s="16">
        <f t="shared" si="29"/>
        <v>45423.206400000003</v>
      </c>
      <c r="Y63" s="16">
        <f>D63*$B$14*VLOOKUP($A63,NPV!$B$3:$D$44,2,0)</f>
        <v>24666.326846330998</v>
      </c>
      <c r="Z63" s="16">
        <f t="shared" si="30"/>
        <v>43358.515200000009</v>
      </c>
      <c r="AA63" s="16">
        <f>D63*$B$15*VLOOKUP($A63,NPV!$B$3:$D$44,2,0)</f>
        <v>23545.130171497774</v>
      </c>
      <c r="AB63" s="16">
        <f t="shared" si="31"/>
        <v>576048.84480000008</v>
      </c>
      <c r="AC63" s="16">
        <f t="shared" si="32"/>
        <v>312813.87227847037</v>
      </c>
      <c r="AE63" s="16">
        <f t="shared" si="33"/>
        <v>6063388.0320000006</v>
      </c>
      <c r="AF63" s="16">
        <f t="shared" si="34"/>
        <v>3373376.046991922</v>
      </c>
      <c r="AI63" s="61"/>
      <c r="AJ63" s="61"/>
      <c r="AK63" s="61"/>
    </row>
    <row r="64" spans="1:37" x14ac:dyDescent="0.25">
      <c r="A64" s="5">
        <f t="shared" si="35"/>
        <v>2043</v>
      </c>
      <c r="B64" s="10">
        <f t="shared" si="20"/>
        <v>14664</v>
      </c>
      <c r="C64" s="10">
        <f>B64*'Inputs &amp; Parameters'!$C$19/60</f>
        <v>53768</v>
      </c>
      <c r="D64" s="10">
        <f>B64*'Inputs &amp; Parameters'!$B$19</f>
        <v>2064691.2000000002</v>
      </c>
      <c r="E64" s="9"/>
      <c r="F64" s="16">
        <f>D64*'Truck Diversion (No Build)- Dry'!$B$18</f>
        <v>2725392.3840000005</v>
      </c>
      <c r="G64" s="16">
        <f>D64*'Truck Diversion (No Build)- Dry'!$B$18*VLOOKUP($A64,NPV!$B$3:$D$44,2,0)</f>
        <v>1435479.738874743</v>
      </c>
      <c r="H64" s="16">
        <f t="shared" si="21"/>
        <v>1964976</v>
      </c>
      <c r="I64" s="16">
        <f>H64*VLOOKUP($A64,NPV!$B$3:$D$44,2,0)</f>
        <v>1034964.0851477247</v>
      </c>
      <c r="J64" s="16">
        <f>D64*'Truck Diversion (No Build)- Dry'!$B$19</f>
        <v>103234.56000000001</v>
      </c>
      <c r="K64" s="16">
        <f>D64*'Truck Diversion (No Build)- Dry'!$B$19*VLOOKUP($A64,NPV!$B$3:$D$44,2,0)</f>
        <v>54374.2325331342</v>
      </c>
      <c r="L64" s="16">
        <f t="shared" si="22"/>
        <v>4793602.9440000001</v>
      </c>
      <c r="M64" s="16">
        <f t="shared" si="23"/>
        <v>2524818.0565556018</v>
      </c>
      <c r="N64" s="8"/>
      <c r="O64" s="16">
        <f t="shared" si="24"/>
        <v>621472.05119999999</v>
      </c>
      <c r="P64" s="16">
        <f>D64*$B$17*VLOOKUP($A64,NPV!$B$3:$D$44,3,0)</f>
        <v>410032.23018182657</v>
      </c>
      <c r="Q64" s="16">
        <f t="shared" si="25"/>
        <v>72264.19200000001</v>
      </c>
      <c r="R64" s="16">
        <f>D64*$B$16*VLOOKUP($A64,NPV!$B$3:$D$44,2,0)</f>
        <v>38061.96277319394</v>
      </c>
      <c r="S64" s="16">
        <f t="shared" si="26"/>
        <v>693736.24320000003</v>
      </c>
      <c r="T64" s="16">
        <f t="shared" si="27"/>
        <v>448094.19295502052</v>
      </c>
      <c r="V64" s="16">
        <f t="shared" si="28"/>
        <v>487267.12320000003</v>
      </c>
      <c r="W64" s="16">
        <f>D64*$B$13*VLOOKUP($A64,NPV!$B$3:$D$44,2,0)</f>
        <v>256646.37755639339</v>
      </c>
      <c r="X64" s="16">
        <f t="shared" si="29"/>
        <v>45423.206400000003</v>
      </c>
      <c r="Y64" s="16">
        <f>D64*$B$14*VLOOKUP($A64,NPV!$B$3:$D$44,2,0)</f>
        <v>23924.662314579047</v>
      </c>
      <c r="Z64" s="16">
        <f t="shared" si="30"/>
        <v>43358.515200000009</v>
      </c>
      <c r="AA64" s="16">
        <f>D64*$B$15*VLOOKUP($A64,NPV!$B$3:$D$44,2,0)</f>
        <v>22837.177663916365</v>
      </c>
      <c r="AB64" s="16">
        <f t="shared" si="31"/>
        <v>576048.84480000008</v>
      </c>
      <c r="AC64" s="16">
        <f t="shared" si="32"/>
        <v>303408.21753488883</v>
      </c>
      <c r="AE64" s="16">
        <f t="shared" si="33"/>
        <v>6063388.0320000006</v>
      </c>
      <c r="AF64" s="16">
        <f t="shared" si="34"/>
        <v>3276320.4670455111</v>
      </c>
      <c r="AI64" s="61"/>
      <c r="AJ64" s="61"/>
      <c r="AK64" s="61"/>
    </row>
    <row r="65" spans="1:37" x14ac:dyDescent="0.25">
      <c r="A65" s="5">
        <f t="shared" si="35"/>
        <v>2044</v>
      </c>
      <c r="B65" s="10">
        <f t="shared" si="20"/>
        <v>14664</v>
      </c>
      <c r="C65" s="10">
        <f>B65*'Inputs &amp; Parameters'!$C$19/60</f>
        <v>53768</v>
      </c>
      <c r="D65" s="10">
        <f>B65*'Inputs &amp; Parameters'!$B$19</f>
        <v>2064691.2000000002</v>
      </c>
      <c r="E65" s="9"/>
      <c r="F65" s="16">
        <f>D65*'Truck Diversion (No Build)- Dry'!$B$18</f>
        <v>2725392.3840000005</v>
      </c>
      <c r="G65" s="16">
        <f>D65*'Truck Diversion (No Build)- Dry'!$B$18*VLOOKUP($A65,NPV!$B$3:$D$44,2,0)</f>
        <v>1392317.8844565889</v>
      </c>
      <c r="H65" s="16">
        <f t="shared" si="21"/>
        <v>1964976</v>
      </c>
      <c r="I65" s="16">
        <f>H65*VLOOKUP($A65,NPV!$B$3:$D$44,2,0)</f>
        <v>1003844.8934507516</v>
      </c>
      <c r="J65" s="16">
        <f>D65*'Truck Diversion (No Build)- Dry'!$B$19</f>
        <v>103234.56000000001</v>
      </c>
      <c r="K65" s="16">
        <f>D65*'Truck Diversion (No Build)- Dry'!$B$19*VLOOKUP($A65,NPV!$B$3:$D$44,2,0)</f>
        <v>52739.313805173821</v>
      </c>
      <c r="L65" s="16">
        <f t="shared" si="22"/>
        <v>4793602.9440000001</v>
      </c>
      <c r="M65" s="16">
        <f t="shared" si="23"/>
        <v>2448902.0917125139</v>
      </c>
      <c r="N65" s="8"/>
      <c r="O65" s="16">
        <f t="shared" si="24"/>
        <v>621472.05119999999</v>
      </c>
      <c r="P65" s="16">
        <f>D65*$B$17*VLOOKUP($A65,NPV!$B$3:$D$44,3,0)</f>
        <v>401992.38253120251</v>
      </c>
      <c r="Q65" s="16">
        <f t="shared" si="25"/>
        <v>72264.19200000001</v>
      </c>
      <c r="R65" s="16">
        <f>D65*$B$16*VLOOKUP($A65,NPV!$B$3:$D$44,2,0)</f>
        <v>36917.519663621671</v>
      </c>
      <c r="S65" s="16">
        <f t="shared" si="26"/>
        <v>693736.24320000003</v>
      </c>
      <c r="T65" s="16">
        <f t="shared" si="27"/>
        <v>438909.90219482419</v>
      </c>
      <c r="V65" s="16">
        <f t="shared" si="28"/>
        <v>487267.12320000003</v>
      </c>
      <c r="W65" s="16">
        <f>D65*$B$13*VLOOKUP($A65,NPV!$B$3:$D$44,2,0)</f>
        <v>248929.56116042042</v>
      </c>
      <c r="X65" s="16">
        <f t="shared" si="29"/>
        <v>45423.206400000003</v>
      </c>
      <c r="Y65" s="16">
        <f>D65*$B$14*VLOOKUP($A65,NPV!$B$3:$D$44,2,0)</f>
        <v>23205.298074276478</v>
      </c>
      <c r="Z65" s="16">
        <f t="shared" si="30"/>
        <v>43358.515200000009</v>
      </c>
      <c r="AA65" s="16">
        <f>D65*$B$15*VLOOKUP($A65,NPV!$B$3:$D$44,2,0)</f>
        <v>22150.511798173007</v>
      </c>
      <c r="AB65" s="16">
        <f t="shared" si="31"/>
        <v>576048.84480000008</v>
      </c>
      <c r="AC65" s="16">
        <f t="shared" si="32"/>
        <v>294285.37103286991</v>
      </c>
      <c r="AE65" s="16">
        <f t="shared" si="33"/>
        <v>6063388.0320000006</v>
      </c>
      <c r="AF65" s="16">
        <f t="shared" si="34"/>
        <v>3182097.3649402079</v>
      </c>
      <c r="AI65" s="61"/>
      <c r="AJ65" s="61"/>
      <c r="AK65" s="61"/>
    </row>
    <row r="66" spans="1:37" x14ac:dyDescent="0.25">
      <c r="A66" s="5">
        <f t="shared" si="35"/>
        <v>2045</v>
      </c>
      <c r="B66" s="10">
        <f t="shared" si="20"/>
        <v>14664</v>
      </c>
      <c r="C66" s="10">
        <f>B66*'Inputs &amp; Parameters'!$C$19/60</f>
        <v>53768</v>
      </c>
      <c r="D66" s="10">
        <f>B66*'Inputs &amp; Parameters'!$B$19</f>
        <v>2064691.2000000002</v>
      </c>
      <c r="E66" s="9"/>
      <c r="F66" s="16">
        <f>D66*'Truck Diversion (No Build)- Dry'!$B$18</f>
        <v>2725392.3840000005</v>
      </c>
      <c r="G66" s="16">
        <f>D66*'Truck Diversion (No Build)- Dry'!$B$18*VLOOKUP($A66,NPV!$B$3:$D$44,2,0)</f>
        <v>1350453.8161557603</v>
      </c>
      <c r="H66" s="16">
        <f t="shared" si="21"/>
        <v>1964976</v>
      </c>
      <c r="I66" s="16">
        <f>H66*VLOOKUP($A66,NPV!$B$3:$D$44,2,0)</f>
        <v>973661.39034990442</v>
      </c>
      <c r="J66" s="16">
        <f>D66*'Truck Diversion (No Build)- Dry'!$B$19</f>
        <v>103234.56000000001</v>
      </c>
      <c r="K66" s="16">
        <f>D66*'Truck Diversion (No Build)- Dry'!$B$19*VLOOKUP($A66,NPV!$B$3:$D$44,2,0)</f>
        <v>51153.553642263643</v>
      </c>
      <c r="L66" s="16">
        <f t="shared" si="22"/>
        <v>4793602.9440000001</v>
      </c>
      <c r="M66" s="16">
        <f t="shared" si="23"/>
        <v>2375268.7601479283</v>
      </c>
      <c r="N66" s="8"/>
      <c r="O66" s="16">
        <f t="shared" si="24"/>
        <v>621472.05119999999</v>
      </c>
      <c r="P66" s="16">
        <f>D66*$B$17*VLOOKUP($A66,NPV!$B$3:$D$44,3,0)</f>
        <v>394110.17895215942</v>
      </c>
      <c r="Q66" s="16">
        <f t="shared" si="25"/>
        <v>72264.19200000001</v>
      </c>
      <c r="R66" s="16">
        <f>D66*$B$16*VLOOKUP($A66,NPV!$B$3:$D$44,2,0)</f>
        <v>35807.487549584548</v>
      </c>
      <c r="S66" s="16">
        <f t="shared" si="26"/>
        <v>693736.24320000003</v>
      </c>
      <c r="T66" s="16">
        <f t="shared" si="27"/>
        <v>429917.66650174395</v>
      </c>
      <c r="V66" s="16">
        <f t="shared" si="28"/>
        <v>487267.12320000003</v>
      </c>
      <c r="W66" s="16">
        <f>D66*$B$13*VLOOKUP($A66,NPV!$B$3:$D$44,2,0)</f>
        <v>241444.77319148436</v>
      </c>
      <c r="X66" s="16">
        <f t="shared" si="29"/>
        <v>45423.206400000003</v>
      </c>
      <c r="Y66" s="16">
        <f>D66*$B$14*VLOOKUP($A66,NPV!$B$3:$D$44,2,0)</f>
        <v>22507.563602596001</v>
      </c>
      <c r="Z66" s="16">
        <f t="shared" si="30"/>
        <v>43358.515200000009</v>
      </c>
      <c r="AA66" s="16">
        <f>D66*$B$15*VLOOKUP($A66,NPV!$B$3:$D$44,2,0)</f>
        <v>21484.492529750733</v>
      </c>
      <c r="AB66" s="16">
        <f t="shared" si="31"/>
        <v>576048.84480000008</v>
      </c>
      <c r="AC66" s="16">
        <f t="shared" si="32"/>
        <v>285436.82932383113</v>
      </c>
      <c r="AE66" s="16">
        <f t="shared" si="33"/>
        <v>6063388.0320000006</v>
      </c>
      <c r="AF66" s="16">
        <f t="shared" si="34"/>
        <v>3090623.255973503</v>
      </c>
      <c r="AI66" s="61"/>
      <c r="AJ66" s="61"/>
      <c r="AK66" s="61"/>
    </row>
    <row r="67" spans="1:37" x14ac:dyDescent="0.25">
      <c r="A67" s="5">
        <f t="shared" si="35"/>
        <v>2046</v>
      </c>
      <c r="B67" s="10">
        <f t="shared" si="20"/>
        <v>14664</v>
      </c>
      <c r="C67" s="10">
        <f>B67*'Inputs &amp; Parameters'!$C$19/60</f>
        <v>53768</v>
      </c>
      <c r="D67" s="10">
        <f>B67*'Inputs &amp; Parameters'!$B$19</f>
        <v>2064691.2000000002</v>
      </c>
      <c r="E67" s="9"/>
      <c r="F67" s="16">
        <f>D67*'Truck Diversion (No Build)- Dry'!$B$18</f>
        <v>2725392.3840000005</v>
      </c>
      <c r="G67" s="16">
        <f>D67*'Truck Diversion (No Build)- Dry'!$B$18*VLOOKUP($A67,NPV!$B$3:$D$44,2,0)</f>
        <v>1309848.5122752285</v>
      </c>
      <c r="H67" s="16">
        <f t="shared" si="21"/>
        <v>1964976</v>
      </c>
      <c r="I67" s="16">
        <f>H67*VLOOKUP($A67,NPV!$B$3:$D$44,2,0)</f>
        <v>944385.44165849139</v>
      </c>
      <c r="J67" s="16">
        <f>D67*'Truck Diversion (No Build)- Dry'!$B$19</f>
        <v>103234.56000000001</v>
      </c>
      <c r="K67" s="16">
        <f>D67*'Truck Diversion (No Build)- Dry'!$B$19*VLOOKUP($A67,NPV!$B$3:$D$44,2,0)</f>
        <v>49615.473949819258</v>
      </c>
      <c r="L67" s="16">
        <f t="shared" si="22"/>
        <v>4793602.9440000001</v>
      </c>
      <c r="M67" s="16">
        <f t="shared" si="23"/>
        <v>2303849.4278835393</v>
      </c>
      <c r="N67" s="8"/>
      <c r="O67" s="16">
        <f t="shared" si="24"/>
        <v>621472.05119999999</v>
      </c>
      <c r="P67" s="16">
        <f>D67*$B$17*VLOOKUP($A67,NPV!$B$3:$D$44,3,0)</f>
        <v>386382.52838446997</v>
      </c>
      <c r="Q67" s="16">
        <f t="shared" si="25"/>
        <v>72264.19200000001</v>
      </c>
      <c r="R67" s="16">
        <f>D67*$B$16*VLOOKUP($A67,NPV!$B$3:$D$44,2,0)</f>
        <v>34730.831764873481</v>
      </c>
      <c r="S67" s="16">
        <f t="shared" si="26"/>
        <v>693736.24320000003</v>
      </c>
      <c r="T67" s="16">
        <f t="shared" si="27"/>
        <v>421113.36014934344</v>
      </c>
      <c r="V67" s="16">
        <f t="shared" si="28"/>
        <v>487267.12320000003</v>
      </c>
      <c r="W67" s="16">
        <f>D67*$B$13*VLOOKUP($A67,NPV!$B$3:$D$44,2,0)</f>
        <v>234185.03704314688</v>
      </c>
      <c r="X67" s="16">
        <f t="shared" si="29"/>
        <v>45423.206400000003</v>
      </c>
      <c r="Y67" s="16">
        <f>D67*$B$14*VLOOKUP($A67,NPV!$B$3:$D$44,2,0)</f>
        <v>21830.808537920471</v>
      </c>
      <c r="Z67" s="16">
        <f t="shared" si="30"/>
        <v>43358.515200000009</v>
      </c>
      <c r="AA67" s="16">
        <f>D67*$B$15*VLOOKUP($A67,NPV!$B$3:$D$44,2,0)</f>
        <v>20838.499058924088</v>
      </c>
      <c r="AB67" s="16">
        <f t="shared" si="31"/>
        <v>576048.84480000008</v>
      </c>
      <c r="AC67" s="16">
        <f t="shared" si="32"/>
        <v>276854.34463999141</v>
      </c>
      <c r="AE67" s="16">
        <f t="shared" si="33"/>
        <v>6063388.0320000006</v>
      </c>
      <c r="AF67" s="16">
        <f t="shared" si="34"/>
        <v>3001817.1326728743</v>
      </c>
      <c r="AI67" s="61"/>
      <c r="AJ67" s="61"/>
      <c r="AK67" s="61"/>
    </row>
    <row r="68" spans="1:37" x14ac:dyDescent="0.25">
      <c r="A68" s="5">
        <f t="shared" si="35"/>
        <v>2047</v>
      </c>
      <c r="B68" s="10">
        <f t="shared" si="20"/>
        <v>14664</v>
      </c>
      <c r="C68" s="10">
        <f>B68*'Inputs &amp; Parameters'!$C$19/60</f>
        <v>53768</v>
      </c>
      <c r="D68" s="10">
        <f>B68*'Inputs &amp; Parameters'!$B$19</f>
        <v>2064691.2000000002</v>
      </c>
      <c r="E68" s="9"/>
      <c r="F68" s="16">
        <f>D68*'Truck Diversion (No Build)- Dry'!$B$18</f>
        <v>2725392.3840000005</v>
      </c>
      <c r="G68" s="16">
        <f>D68*'Truck Diversion (No Build)- Dry'!$B$18*VLOOKUP($A68,NPV!$B$3:$D$44,2,0)</f>
        <v>1270464.1244182622</v>
      </c>
      <c r="H68" s="16">
        <f t="shared" si="21"/>
        <v>1964976</v>
      </c>
      <c r="I68" s="16">
        <f>H68*VLOOKUP($A68,NPV!$B$3:$D$44,2,0)</f>
        <v>915989.75912559777</v>
      </c>
      <c r="J68" s="16">
        <f>D68*'Truck Diversion (No Build)- Dry'!$B$19</f>
        <v>103234.56000000001</v>
      </c>
      <c r="K68" s="16">
        <f>D68*'Truck Diversion (No Build)- Dry'!$B$19*VLOOKUP($A68,NPV!$B$3:$D$44,2,0)</f>
        <v>48123.641076449327</v>
      </c>
      <c r="L68" s="16">
        <f t="shared" si="22"/>
        <v>4793602.9440000001</v>
      </c>
      <c r="M68" s="16">
        <f t="shared" si="23"/>
        <v>2234577.5246203095</v>
      </c>
      <c r="N68" s="8"/>
      <c r="O68" s="16">
        <f t="shared" si="24"/>
        <v>621472.05119999999</v>
      </c>
      <c r="P68" s="16">
        <f>D68*$B$17*VLOOKUP($A68,NPV!$B$3:$D$44,3,0)</f>
        <v>378806.40037693141</v>
      </c>
      <c r="Q68" s="16">
        <f t="shared" si="25"/>
        <v>72264.19200000001</v>
      </c>
      <c r="R68" s="16">
        <f>D68*$B$16*VLOOKUP($A68,NPV!$B$3:$D$44,2,0)</f>
        <v>33686.548753514529</v>
      </c>
      <c r="S68" s="16">
        <f t="shared" si="26"/>
        <v>693736.24320000003</v>
      </c>
      <c r="T68" s="16">
        <f t="shared" si="27"/>
        <v>412492.94913044595</v>
      </c>
      <c r="V68" s="16">
        <f t="shared" si="28"/>
        <v>487267.12320000003</v>
      </c>
      <c r="W68" s="16">
        <f>D68*$B$13*VLOOKUP($A68,NPV!$B$3:$D$44,2,0)</f>
        <v>227143.58588084081</v>
      </c>
      <c r="X68" s="16">
        <f t="shared" si="29"/>
        <v>45423.206400000003</v>
      </c>
      <c r="Y68" s="16">
        <f>D68*$B$14*VLOOKUP($A68,NPV!$B$3:$D$44,2,0)</f>
        <v>21174.402073637702</v>
      </c>
      <c r="Z68" s="16">
        <f t="shared" si="30"/>
        <v>43358.515200000009</v>
      </c>
      <c r="AA68" s="16">
        <f>D68*$B$15*VLOOKUP($A68,NPV!$B$3:$D$44,2,0)</f>
        <v>20211.929252108719</v>
      </c>
      <c r="AB68" s="16">
        <f t="shared" si="31"/>
        <v>576048.84480000008</v>
      </c>
      <c r="AC68" s="16">
        <f t="shared" si="32"/>
        <v>268529.91720658721</v>
      </c>
      <c r="AE68" s="16">
        <f t="shared" si="33"/>
        <v>6063388.0320000006</v>
      </c>
      <c r="AF68" s="16">
        <f t="shared" si="34"/>
        <v>2915600.3909573425</v>
      </c>
      <c r="AI68" s="61"/>
      <c r="AJ68" s="61"/>
      <c r="AK68" s="61"/>
    </row>
    <row r="69" spans="1:37" x14ac:dyDescent="0.25">
      <c r="A69" s="11" t="s">
        <v>45</v>
      </c>
      <c r="B69" s="37">
        <f>SUBTOTAL(9,B49:B68)</f>
        <v>293280</v>
      </c>
      <c r="C69" s="37">
        <f>SUBTOTAL(9,C49:C68)</f>
        <v>1075360</v>
      </c>
      <c r="D69" s="37">
        <f>SUBTOTAL(9,D49:D68)</f>
        <v>41293824</v>
      </c>
      <c r="E69" s="38"/>
      <c r="F69" s="39">
        <f>SUBTOTAL(9,F49:F68)</f>
        <v>54507847.680000022</v>
      </c>
      <c r="G69" s="39">
        <f t="shared" ref="G69" si="36">SUBTOTAL(9,G49:G68)</f>
        <v>34487228.567284279</v>
      </c>
      <c r="H69" s="39">
        <f t="shared" ref="H69" si="37">SUBTOTAL(9,H49:H68)</f>
        <v>39299520</v>
      </c>
      <c r="I69" s="39">
        <f t="shared" ref="I69" si="38">SUBTOTAL(9,I49:I68)</f>
        <v>24864888.020919915</v>
      </c>
      <c r="J69" s="39">
        <f t="shared" ref="J69" si="39">SUBTOTAL(9,J49:J68)</f>
        <v>2064691.2000000009</v>
      </c>
      <c r="K69" s="39">
        <f t="shared" ref="K69" si="40">SUBTOTAL(9,K49:K68)</f>
        <v>1306334.4154274345</v>
      </c>
      <c r="L69" s="39">
        <f t="shared" ref="L69" si="41">SUBTOTAL(9,L49:L68)</f>
        <v>95872058.880000025</v>
      </c>
      <c r="M69" s="39">
        <f t="shared" ref="M69" si="42">SUBTOTAL(9,M49:M68)</f>
        <v>60658451.003631622</v>
      </c>
      <c r="N69" s="40"/>
      <c r="O69" s="39">
        <f t="shared" ref="O69" si="43">SUBTOTAL(9,O49:O68)</f>
        <v>12429441.024000002</v>
      </c>
      <c r="P69" s="39">
        <f t="shared" ref="P69" si="44">SUBTOTAL(9,P49:P68)</f>
        <v>9203999.1921551842</v>
      </c>
      <c r="Q69" s="39">
        <f t="shared" ref="Q69" si="45">SUBTOTAL(9,Q49:Q68)</f>
        <v>1445283.8400000005</v>
      </c>
      <c r="R69" s="39">
        <f t="shared" ref="R69" si="46">SUBTOTAL(9,R49:R68)</f>
        <v>914434.09079920419</v>
      </c>
      <c r="S69" s="39">
        <f t="shared" ref="S69" si="47">SUBTOTAL(9,S49:S68)</f>
        <v>13874724.864000004</v>
      </c>
      <c r="T69" s="39">
        <f>SUBTOTAL(9,T49:T68)</f>
        <v>10118433.282954387</v>
      </c>
      <c r="U69" s="1"/>
      <c r="V69" s="39">
        <f t="shared" ref="V69:AB69" si="48">SUBTOTAL(9,V49:V68)</f>
        <v>9745342.4640000015</v>
      </c>
      <c r="W69" s="39">
        <f t="shared" si="48"/>
        <v>6165898.4408174912</v>
      </c>
      <c r="X69" s="39">
        <f t="shared" si="48"/>
        <v>908464.12800000038</v>
      </c>
      <c r="Y69" s="39">
        <f t="shared" si="48"/>
        <v>574787.14278807119</v>
      </c>
      <c r="Z69" s="39">
        <f t="shared" si="48"/>
        <v>867170.30400000035</v>
      </c>
      <c r="AA69" s="39">
        <f t="shared" si="48"/>
        <v>548660.45447952242</v>
      </c>
      <c r="AB69" s="39">
        <f t="shared" si="48"/>
        <v>11520976.895999998</v>
      </c>
      <c r="AC69" s="39">
        <f>SUBTOTAL(9,AC49:AC68)</f>
        <v>7289346.0380850825</v>
      </c>
      <c r="AD69" s="1"/>
      <c r="AE69" s="39">
        <f>SUBTOTAL(9,AE49:AE68)</f>
        <v>121267760.64000003</v>
      </c>
      <c r="AF69" s="39">
        <f>SUBTOTAL(9,AF49:AF68)</f>
        <v>78066230.32467109</v>
      </c>
    </row>
  </sheetData>
  <mergeCells count="6">
    <mergeCell ref="V22:AC22"/>
    <mergeCell ref="O22:T22"/>
    <mergeCell ref="O47:T47"/>
    <mergeCell ref="V47:AC47"/>
    <mergeCell ref="F22:M22"/>
    <mergeCell ref="F47:M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445E-3D8B-4552-ACF0-06D9A00BA248}">
  <sheetPr>
    <tabColor theme="9" tint="0.79998168889431442"/>
  </sheetPr>
  <dimension ref="A2:AE66"/>
  <sheetViews>
    <sheetView workbookViewId="0">
      <selection activeCell="D64" sqref="D64"/>
    </sheetView>
  </sheetViews>
  <sheetFormatPr defaultRowHeight="15" x14ac:dyDescent="0.25"/>
  <cols>
    <col min="1" max="1" width="47.7109375" customWidth="1"/>
    <col min="2" max="2" width="17" bestFit="1" customWidth="1"/>
    <col min="3" max="3" width="17" customWidth="1"/>
    <col min="4" max="4" width="12.28515625" customWidth="1"/>
    <col min="5" max="5" width="10.5703125" customWidth="1"/>
    <col min="7" max="31" width="15.7109375" customWidth="1"/>
  </cols>
  <sheetData>
    <row r="2" spans="1:23" x14ac:dyDescent="0.25">
      <c r="A2" s="14" t="s">
        <v>263</v>
      </c>
      <c r="B2" s="13"/>
      <c r="C2" s="1"/>
      <c r="L2" s="127"/>
    </row>
    <row r="3" spans="1:23" ht="30" x14ac:dyDescent="0.25">
      <c r="A3" s="87" t="s">
        <v>188</v>
      </c>
      <c r="B3" s="18">
        <v>2028</v>
      </c>
      <c r="C3" s="70"/>
      <c r="L3" s="128"/>
    </row>
    <row r="4" spans="1:23" x14ac:dyDescent="0.25">
      <c r="A4" s="87" t="s">
        <v>296</v>
      </c>
      <c r="B4" s="18">
        <f>'Inputs &amp; Parameters'!B18</f>
        <v>204</v>
      </c>
      <c r="C4" s="70"/>
      <c r="L4" s="128"/>
    </row>
    <row r="5" spans="1:23" x14ac:dyDescent="0.25">
      <c r="A5" s="5" t="s">
        <v>297</v>
      </c>
      <c r="B5" s="18">
        <v>1</v>
      </c>
      <c r="C5" s="70"/>
      <c r="L5" s="128"/>
    </row>
    <row r="6" spans="1:23" x14ac:dyDescent="0.25">
      <c r="A6" s="5" t="s">
        <v>298</v>
      </c>
      <c r="B6" s="18">
        <v>6</v>
      </c>
      <c r="C6" s="70"/>
      <c r="L6" s="128"/>
    </row>
    <row r="7" spans="1:23" x14ac:dyDescent="0.25">
      <c r="A7" s="5" t="s">
        <v>299</v>
      </c>
      <c r="B7" s="18">
        <v>100</v>
      </c>
      <c r="C7" s="70"/>
      <c r="L7" s="128"/>
    </row>
    <row r="8" spans="1:23" x14ac:dyDescent="0.25">
      <c r="A8" s="5" t="s">
        <v>300</v>
      </c>
      <c r="B8" s="18">
        <v>2</v>
      </c>
      <c r="C8" s="26" t="s">
        <v>396</v>
      </c>
      <c r="F8" s="44"/>
    </row>
    <row r="9" spans="1:23" x14ac:dyDescent="0.25">
      <c r="A9" s="33" t="s">
        <v>191</v>
      </c>
      <c r="B9" s="3">
        <v>53.5</v>
      </c>
      <c r="C9" s="26" t="s">
        <v>396</v>
      </c>
      <c r="F9" s="44"/>
    </row>
    <row r="10" spans="1:23" x14ac:dyDescent="0.25">
      <c r="A10" s="33" t="s">
        <v>301</v>
      </c>
      <c r="B10" s="79">
        <v>60</v>
      </c>
      <c r="C10" s="89"/>
      <c r="F10" s="44"/>
    </row>
    <row r="11" spans="1:23" x14ac:dyDescent="0.25">
      <c r="A11" s="33" t="s">
        <v>302</v>
      </c>
      <c r="B11" s="79">
        <f>25</f>
        <v>25</v>
      </c>
      <c r="C11" s="78"/>
      <c r="F11" s="44"/>
    </row>
    <row r="12" spans="1:23" x14ac:dyDescent="0.25">
      <c r="A12" s="33" t="s">
        <v>401</v>
      </c>
      <c r="B12" s="79">
        <v>0.5</v>
      </c>
      <c r="C12" s="78"/>
      <c r="F12" s="44"/>
    </row>
    <row r="13" spans="1:23" x14ac:dyDescent="0.25">
      <c r="A13" s="77"/>
      <c r="B13" s="78"/>
      <c r="C13" s="78"/>
      <c r="F13" s="44"/>
    </row>
    <row r="14" spans="1:23" x14ac:dyDescent="0.25">
      <c r="A14" s="13" t="s">
        <v>303</v>
      </c>
      <c r="B14" s="13" t="s">
        <v>304</v>
      </c>
      <c r="C14" s="13" t="s">
        <v>305</v>
      </c>
      <c r="D14" s="13" t="s">
        <v>76</v>
      </c>
      <c r="E14" s="13" t="s">
        <v>77</v>
      </c>
      <c r="G14" s="44"/>
      <c r="H14" s="44"/>
      <c r="I14" s="44"/>
      <c r="J14" s="44"/>
      <c r="K14" s="44"/>
      <c r="L14" s="5"/>
      <c r="M14" s="5" t="s">
        <v>306</v>
      </c>
      <c r="N14" s="5"/>
      <c r="O14" s="5" t="s">
        <v>307</v>
      </c>
      <c r="P14" s="5"/>
      <c r="Q14" s="5" t="s">
        <v>308</v>
      </c>
      <c r="R14" s="5"/>
      <c r="S14" s="5" t="s">
        <v>45</v>
      </c>
      <c r="U14" s="5"/>
      <c r="V14" s="5"/>
    </row>
    <row r="15" spans="1:23" x14ac:dyDescent="0.25">
      <c r="A15" s="5" t="s">
        <v>309</v>
      </c>
      <c r="B15" s="18">
        <v>7</v>
      </c>
      <c r="C15" s="51">
        <f>(1-$C$17)*V16</f>
        <v>1.2663755458515285E-2</v>
      </c>
      <c r="D15" s="81">
        <f>'Inputs &amp; Parameters'!B35</f>
        <v>14022900</v>
      </c>
      <c r="E15" s="5" t="s">
        <v>310</v>
      </c>
      <c r="G15" s="44"/>
      <c r="H15" s="44"/>
      <c r="I15" s="44"/>
      <c r="J15" s="44"/>
      <c r="K15" s="44"/>
      <c r="L15" s="5" t="s">
        <v>311</v>
      </c>
      <c r="M15" s="18">
        <v>28</v>
      </c>
      <c r="N15" s="18"/>
      <c r="O15" s="18">
        <v>5</v>
      </c>
      <c r="P15" s="18"/>
      <c r="Q15" s="18">
        <v>2</v>
      </c>
      <c r="R15" s="18"/>
      <c r="S15" s="5">
        <f>SUM(M15:Q15)</f>
        <v>35</v>
      </c>
      <c r="U15" s="5"/>
      <c r="V15" s="5" t="s">
        <v>312</v>
      </c>
    </row>
    <row r="16" spans="1:23" x14ac:dyDescent="0.25">
      <c r="A16" s="5" t="s">
        <v>313</v>
      </c>
      <c r="B16" s="18">
        <v>40</v>
      </c>
      <c r="C16" s="51">
        <f>(1-$C$17)*V17</f>
        <v>6.3755458515283858E-2</v>
      </c>
      <c r="D16" s="81">
        <f>'Inputs &amp; Parameters'!B34</f>
        <v>313000</v>
      </c>
      <c r="E16" s="5" t="s">
        <v>310</v>
      </c>
      <c r="L16" s="5" t="s">
        <v>224</v>
      </c>
      <c r="M16" s="18">
        <v>0</v>
      </c>
      <c r="N16" s="18"/>
      <c r="O16" s="18">
        <v>5</v>
      </c>
      <c r="P16" s="18"/>
      <c r="Q16" s="18">
        <v>2</v>
      </c>
      <c r="R16" s="18"/>
      <c r="S16" s="5">
        <f>SUM(M16:Q16)</f>
        <v>7</v>
      </c>
      <c r="U16" s="51"/>
      <c r="V16" s="51">
        <f>SUM(O15,Q15*Q16/SUM(Q16:Q17))/S15</f>
        <v>0.1657142857142857</v>
      </c>
      <c r="W16" s="132"/>
    </row>
    <row r="17" spans="1:23" x14ac:dyDescent="0.25">
      <c r="A17" s="5" t="s">
        <v>314</v>
      </c>
      <c r="B17" s="5">
        <f>B20-S15</f>
        <v>423</v>
      </c>
      <c r="C17" s="51">
        <f>B17/B20</f>
        <v>0.92358078602620086</v>
      </c>
      <c r="D17" s="81">
        <f>'Inputs &amp; Parameters'!B33</f>
        <v>9100</v>
      </c>
      <c r="E17" s="5" t="s">
        <v>310</v>
      </c>
      <c r="L17" s="5" t="s">
        <v>225</v>
      </c>
      <c r="M17" s="18">
        <v>37</v>
      </c>
      <c r="N17" s="18"/>
      <c r="O17" s="18">
        <v>0</v>
      </c>
      <c r="P17" s="18"/>
      <c r="Q17" s="18">
        <v>3</v>
      </c>
      <c r="R17" s="18"/>
      <c r="S17" s="5">
        <f>SUM(M17:Q17)</f>
        <v>40</v>
      </c>
      <c r="U17" s="51"/>
      <c r="V17" s="51">
        <f>SUM(M15,Q15*Q17/SUM(Q16:Q17))/S15</f>
        <v>0.8342857142857143</v>
      </c>
      <c r="W17" s="132"/>
    </row>
    <row r="18" spans="1:23" x14ac:dyDescent="0.25">
      <c r="A18" s="5"/>
      <c r="B18" s="5" t="s">
        <v>315</v>
      </c>
      <c r="C18" s="82">
        <v>1</v>
      </c>
      <c r="D18" s="16">
        <f>SUMPRODUCT(C15:C17,D15:D17)</f>
        <v>205942.62008733628</v>
      </c>
      <c r="E18" s="5" t="s">
        <v>316</v>
      </c>
      <c r="M18" s="27" t="s">
        <v>317</v>
      </c>
    </row>
    <row r="19" spans="1:23" x14ac:dyDescent="0.25">
      <c r="C19" s="83"/>
      <c r="D19" s="8"/>
      <c r="M19" t="s">
        <v>318</v>
      </c>
    </row>
    <row r="20" spans="1:23" x14ac:dyDescent="0.25">
      <c r="A20" s="5" t="s">
        <v>319</v>
      </c>
      <c r="B20" s="5">
        <v>458</v>
      </c>
      <c r="C20" s="27" t="s">
        <v>317</v>
      </c>
    </row>
    <row r="21" spans="1:23" x14ac:dyDescent="0.25">
      <c r="A21" s="5" t="s">
        <v>320</v>
      </c>
      <c r="B21" s="25">
        <f>380885*1000</f>
        <v>380885000</v>
      </c>
      <c r="C21" s="27" t="s">
        <v>321</v>
      </c>
    </row>
    <row r="22" spans="1:23" x14ac:dyDescent="0.25">
      <c r="A22" s="5" t="s">
        <v>322</v>
      </c>
      <c r="B22" s="35">
        <f>B20/B21</f>
        <v>1.2024626855875133E-6</v>
      </c>
    </row>
    <row r="23" spans="1:23" x14ac:dyDescent="0.25">
      <c r="A23" s="5" t="s">
        <v>323</v>
      </c>
      <c r="B23" s="60">
        <f>B22*D18</f>
        <v>0.24763831602714734</v>
      </c>
      <c r="F23" s="61"/>
    </row>
    <row r="24" spans="1:23" x14ac:dyDescent="0.25">
      <c r="B24" s="70"/>
      <c r="C24" s="70"/>
      <c r="F24" s="44"/>
    </row>
    <row r="25" spans="1:23" x14ac:dyDescent="0.25">
      <c r="A25" s="14" t="s">
        <v>324</v>
      </c>
      <c r="B25" s="14" t="s">
        <v>325</v>
      </c>
      <c r="C25" t="s">
        <v>326</v>
      </c>
      <c r="F25" s="44"/>
    </row>
    <row r="26" spans="1:23" x14ac:dyDescent="0.25">
      <c r="A26" s="5" t="s">
        <v>327</v>
      </c>
      <c r="B26" s="18"/>
      <c r="C26" s="26" t="s">
        <v>328</v>
      </c>
      <c r="F26" s="44"/>
    </row>
    <row r="27" spans="1:23" x14ac:dyDescent="0.25">
      <c r="A27" s="72" t="s">
        <v>329</v>
      </c>
      <c r="B27" s="17">
        <v>273</v>
      </c>
      <c r="C27" s="76"/>
      <c r="F27" s="44"/>
    </row>
    <row r="28" spans="1:23" x14ac:dyDescent="0.25">
      <c r="A28" s="72" t="s">
        <v>330</v>
      </c>
      <c r="B28" s="17">
        <v>749</v>
      </c>
      <c r="C28" s="76"/>
      <c r="F28" s="44"/>
    </row>
    <row r="29" spans="1:23" x14ac:dyDescent="0.25">
      <c r="A29" s="72" t="s">
        <v>331</v>
      </c>
      <c r="B29" s="17">
        <v>28</v>
      </c>
      <c r="C29" s="76"/>
    </row>
    <row r="30" spans="1:23" x14ac:dyDescent="0.25">
      <c r="A30" s="5" t="s">
        <v>332</v>
      </c>
      <c r="B30" s="5"/>
    </row>
    <row r="31" spans="1:23" x14ac:dyDescent="0.25">
      <c r="A31" s="72" t="s">
        <v>329</v>
      </c>
      <c r="B31" s="17">
        <v>799</v>
      </c>
      <c r="C31" s="76"/>
    </row>
    <row r="32" spans="1:23" x14ac:dyDescent="0.25">
      <c r="A32" s="72" t="s">
        <v>330</v>
      </c>
      <c r="B32" s="17">
        <v>2202</v>
      </c>
      <c r="C32" s="76"/>
    </row>
    <row r="33" spans="1:31" x14ac:dyDescent="0.25">
      <c r="A33" s="72" t="s">
        <v>331</v>
      </c>
      <c r="B33" s="17">
        <v>280</v>
      </c>
      <c r="C33" s="76"/>
    </row>
    <row r="34" spans="1:31" x14ac:dyDescent="0.25">
      <c r="A34" s="67" t="s">
        <v>333</v>
      </c>
      <c r="B34" s="5"/>
    </row>
    <row r="35" spans="1:31" x14ac:dyDescent="0.25">
      <c r="A35" s="72" t="s">
        <v>329</v>
      </c>
      <c r="B35" s="73">
        <v>1.03</v>
      </c>
      <c r="C35" s="80"/>
    </row>
    <row r="36" spans="1:31" x14ac:dyDescent="0.25">
      <c r="A36" s="71"/>
    </row>
    <row r="37" spans="1:31" x14ac:dyDescent="0.25">
      <c r="A37" s="71"/>
    </row>
    <row r="38" spans="1:31" ht="20.25" thickBot="1" x14ac:dyDescent="0.35">
      <c r="A38" s="19" t="s">
        <v>334</v>
      </c>
    </row>
    <row r="39" spans="1:31" ht="15.75" thickTop="1" x14ac:dyDescent="0.25">
      <c r="G39" s="185" t="s">
        <v>335</v>
      </c>
      <c r="H39" s="186"/>
      <c r="I39" s="186"/>
      <c r="J39" s="186"/>
      <c r="K39" s="186"/>
      <c r="L39" s="187"/>
      <c r="N39" s="185" t="s">
        <v>336</v>
      </c>
      <c r="O39" s="186"/>
      <c r="P39" s="186"/>
      <c r="Q39" s="186"/>
      <c r="R39" s="186"/>
      <c r="S39" s="187"/>
      <c r="U39" s="185" t="s">
        <v>337</v>
      </c>
      <c r="V39" s="186"/>
      <c r="W39" s="186"/>
      <c r="X39" s="186"/>
      <c r="Y39" s="186"/>
      <c r="Z39" s="186"/>
      <c r="AA39" s="186"/>
      <c r="AB39" s="187"/>
    </row>
    <row r="40" spans="1:31" s="74" customFormat="1" ht="75" x14ac:dyDescent="0.25">
      <c r="A40" s="15" t="s">
        <v>42</v>
      </c>
      <c r="B40" s="15" t="s">
        <v>338</v>
      </c>
      <c r="C40" s="15" t="s">
        <v>339</v>
      </c>
      <c r="D40" s="15" t="s">
        <v>340</v>
      </c>
      <c r="E40" s="15" t="s">
        <v>341</v>
      </c>
      <c r="G40" s="15" t="s">
        <v>399</v>
      </c>
      <c r="H40" s="15" t="s">
        <v>400</v>
      </c>
      <c r="I40" s="15" t="s">
        <v>397</v>
      </c>
      <c r="J40" s="15" t="s">
        <v>398</v>
      </c>
      <c r="K40" s="15" t="s">
        <v>45</v>
      </c>
      <c r="L40" s="15" t="s">
        <v>33</v>
      </c>
      <c r="N40" s="15" t="s">
        <v>214</v>
      </c>
      <c r="O40" s="15" t="s">
        <v>254</v>
      </c>
      <c r="P40" s="15" t="s">
        <v>290</v>
      </c>
      <c r="Q40" s="15" t="s">
        <v>291</v>
      </c>
      <c r="R40" s="15" t="s">
        <v>45</v>
      </c>
      <c r="S40" s="15" t="s">
        <v>33</v>
      </c>
      <c r="U40" s="15" t="s">
        <v>342</v>
      </c>
      <c r="V40" s="15" t="s">
        <v>343</v>
      </c>
      <c r="W40" s="15" t="s">
        <v>258</v>
      </c>
      <c r="X40" s="15" t="s">
        <v>259</v>
      </c>
      <c r="Y40" s="15" t="s">
        <v>260</v>
      </c>
      <c r="Z40" s="15" t="s">
        <v>261</v>
      </c>
      <c r="AA40" s="15" t="s">
        <v>45</v>
      </c>
      <c r="AB40" s="15" t="s">
        <v>33</v>
      </c>
      <c r="AD40" s="15" t="s">
        <v>45</v>
      </c>
      <c r="AE40" s="15" t="s">
        <v>33</v>
      </c>
    </row>
    <row r="41" spans="1:31" x14ac:dyDescent="0.25">
      <c r="A41" s="5">
        <f>B3</f>
        <v>2028</v>
      </c>
      <c r="B41" s="10">
        <f t="shared" ref="B41:B60" si="0">IF($A41&lt;$B$4,0,$B$5*52)</f>
        <v>52</v>
      </c>
      <c r="C41" s="10">
        <f>IF(B41=0,0,($B$10/60)*($B$5*52))</f>
        <v>52</v>
      </c>
      <c r="D41" s="10">
        <f>IF(B41=0,0,(('Inputs &amp; Parameters'!$B$18/$B$11)*($B$5*52)))</f>
        <v>424.32</v>
      </c>
      <c r="E41" s="10">
        <f>B41*'Inputs &amp; Parameters'!$B$18</f>
        <v>10608</v>
      </c>
      <c r="G41" s="16">
        <f t="shared" ref="G41:G60" si="1">IF(B41=0,0,SUM($B$31*D41,$B$35*$B$5*$B$6*52))</f>
        <v>339353.04</v>
      </c>
      <c r="H41" s="16">
        <f>IF(B41=0,0,SUM($B$31*D41,$B$35*$B$5*$B$6*52)*VLOOKUP($A41,NPV!$B$3:$D$44,2,0))</f>
        <v>282552.88912454312</v>
      </c>
      <c r="I41" s="16">
        <f>$B$8*$B$9*B41*$B$6*$B$12</f>
        <v>16692</v>
      </c>
      <c r="J41" s="16">
        <f>I41*VLOOKUP($A41,NPV!$B$3:$D$44,2,0)</f>
        <v>13898.130469869591</v>
      </c>
      <c r="K41" s="16">
        <f>SUM(G41,I41)</f>
        <v>356045.04</v>
      </c>
      <c r="L41" s="16">
        <f>SUM(H41,J41)</f>
        <v>296451.0195944127</v>
      </c>
      <c r="N41" s="16">
        <f>D41*$B$33+C41*$B$29</f>
        <v>120265.59999999999</v>
      </c>
      <c r="O41" s="16">
        <f>(D41*$B$33+C41*$B$29)*VLOOKUP($A41,NPV!$B$3:$D$44,3,0)</f>
        <v>106792.41106145168</v>
      </c>
      <c r="P41" s="16">
        <f>(D41*$B$32+C41*$B$28)</f>
        <v>973300.64</v>
      </c>
      <c r="Q41" s="16">
        <f>(D41*$B$32+C41*$B$28)*VLOOKUP($A41,NPV!$B$3:$D$44,2,0)</f>
        <v>810391.7613903411</v>
      </c>
      <c r="R41" s="16">
        <f>SUM(N41,P41)</f>
        <v>1093566.24</v>
      </c>
      <c r="S41" s="16">
        <f>SUM(O41,Q41)</f>
        <v>917184.17245179275</v>
      </c>
      <c r="U41" s="16">
        <f>E41*$B$22*$C$17*$D$17</f>
        <v>107.20656996206205</v>
      </c>
      <c r="V41" s="16">
        <f>E41*$B$22*$C$17*$D$17*VLOOKUP($A41,NPV!$B$3:$D$44,2,0)</f>
        <v>89.262574680082707</v>
      </c>
      <c r="W41" s="16">
        <f>E41*$B$22*$C$16*$D$16</f>
        <v>254.54632448114265</v>
      </c>
      <c r="X41" s="16">
        <f>E41*$B$22*$C$16*$D$16*VLOOKUP($A41,NPV!$B$3:$D$44,2,0)</f>
        <v>211.94093148003117</v>
      </c>
      <c r="Y41" s="16">
        <f>E41*$B$22*$C$15*$D$15</f>
        <v>2265.194361972774</v>
      </c>
      <c r="Z41" s="16">
        <f>E41*$B$22*$C$15*$D$15*VLOOKUP($A41,NPV!$B$3:$D$44,2,0)</f>
        <v>1886.0512091008038</v>
      </c>
      <c r="AA41" s="16">
        <f>SUM(U41,W41,Y41)</f>
        <v>2626.9472564159787</v>
      </c>
      <c r="AB41" s="16">
        <f>SUM(V41,X41,Z41)</f>
        <v>2187.2547152609177</v>
      </c>
      <c r="AD41" s="16">
        <f>SUM(K41,R41,AA41)</f>
        <v>1452238.2272564161</v>
      </c>
      <c r="AE41" s="16">
        <f>SUM(L41,S41,AB41)</f>
        <v>1215822.4467614663</v>
      </c>
    </row>
    <row r="42" spans="1:31" x14ac:dyDescent="0.25">
      <c r="A42" s="5">
        <f>A41+1</f>
        <v>2029</v>
      </c>
      <c r="B42" s="10">
        <f t="shared" si="0"/>
        <v>52</v>
      </c>
      <c r="C42" s="10">
        <f t="shared" ref="C42:C60" si="2">IF(B42=0,0,($B$10/60)*($B$5*52))</f>
        <v>52</v>
      </c>
      <c r="D42" s="10">
        <f>IF(B42=0,0,(('Inputs &amp; Parameters'!$B$18/$B$11)*($B$5*52)))</f>
        <v>424.32</v>
      </c>
      <c r="E42" s="10">
        <f>B42*'Inputs &amp; Parameters'!$B$18</f>
        <v>10608</v>
      </c>
      <c r="G42" s="16">
        <f t="shared" si="1"/>
        <v>339353.04</v>
      </c>
      <c r="H42" s="16">
        <f>IF(B42=0,0,SUM($B$31*D42,$B$35*$B$5*$B$6*52)*VLOOKUP($A42,NPV!$B$3:$D$44,2,0))</f>
        <v>274057.11845251522</v>
      </c>
      <c r="I42" s="16">
        <f t="shared" ref="I42:I60" si="3">$B$8*$B$9*B42*$B$6*$B$12</f>
        <v>16692</v>
      </c>
      <c r="J42" s="16">
        <f>I42*VLOOKUP($A42,NPV!$B$3:$D$44,2,0)</f>
        <v>13480.242938767791</v>
      </c>
      <c r="K42" s="16">
        <f t="shared" ref="K42:K60" si="4">SUM(G42,I42)</f>
        <v>356045.04</v>
      </c>
      <c r="L42" s="16">
        <f t="shared" ref="L42:L60" si="5">SUM(H42,J42)</f>
        <v>287537.36139128299</v>
      </c>
      <c r="N42" s="16">
        <f t="shared" ref="N42:N60" si="6">D42*$B$33+C42*$B$29</f>
        <v>120265.59999999999</v>
      </c>
      <c r="O42" s="16">
        <f>(D42*$B$33+C42*$B$29)*VLOOKUP($A42,NPV!$B$3:$D$44,3,0)</f>
        <v>104698.44221710951</v>
      </c>
      <c r="P42" s="16">
        <f t="shared" ref="P42:P60" si="7">(D42*$B$32+C42*$B$28)</f>
        <v>973300.64</v>
      </c>
      <c r="Q42" s="16">
        <f>(D42*$B$32+C42*$B$28)*VLOOKUP($A42,NPV!$B$3:$D$44,2,0)</f>
        <v>786024.98679955502</v>
      </c>
      <c r="R42" s="16">
        <f t="shared" ref="R42:R60" si="8">SUM(N42,P42)</f>
        <v>1093566.24</v>
      </c>
      <c r="S42" s="16">
        <f t="shared" ref="S42:S60" si="9">SUM(O42,Q42)</f>
        <v>890723.42901666451</v>
      </c>
      <c r="U42" s="16">
        <f t="shared" ref="U42:U60" si="10">E42*$B$22*$C$17*$D$17</f>
        <v>107.20656996206205</v>
      </c>
      <c r="V42" s="16">
        <f>E42*$B$22*$C$17*$D$17*VLOOKUP($A42,NPV!$B$3:$D$44,2,0)</f>
        <v>86.578636935094778</v>
      </c>
      <c r="W42" s="16">
        <f t="shared" ref="W42:W60" si="11">E42*$B$22*$C$16*$D$16</f>
        <v>254.54632448114265</v>
      </c>
      <c r="X42" s="16">
        <f>E42*$B$22*$C$16*$D$16*VLOOKUP($A42,NPV!$B$3:$D$44,2,0)</f>
        <v>205.56831375366752</v>
      </c>
      <c r="Y42" s="16">
        <f t="shared" ref="Y42:Y60" si="12">E42*$B$22*$C$15*$D$15</f>
        <v>2265.194361972774</v>
      </c>
      <c r="Z42" s="16">
        <f>E42*$B$22*$C$15*$D$15*VLOOKUP($A42,NPV!$B$3:$D$44,2,0)</f>
        <v>1829.3416189144559</v>
      </c>
      <c r="AA42" s="16">
        <f t="shared" ref="AA42:AA60" si="13">SUM(U42,W42,Y42)</f>
        <v>2626.9472564159787</v>
      </c>
      <c r="AB42" s="16">
        <f t="shared" ref="AB42:AB60" si="14">SUM(V42,X42,Z42)</f>
        <v>2121.4885696032184</v>
      </c>
      <c r="AD42" s="16">
        <f t="shared" ref="AD42:AD60" si="15">SUM(K42,R42,AA42)</f>
        <v>1452238.2272564161</v>
      </c>
      <c r="AE42" s="16">
        <f t="shared" ref="AE42:AE60" si="16">SUM(L42,S42,AB42)</f>
        <v>1180382.2789775508</v>
      </c>
    </row>
    <row r="43" spans="1:31" x14ac:dyDescent="0.25">
      <c r="A43" s="5">
        <f t="shared" ref="A43:A60" si="17">A42+1</f>
        <v>2030</v>
      </c>
      <c r="B43" s="10">
        <f t="shared" si="0"/>
        <v>52</v>
      </c>
      <c r="C43" s="10">
        <f t="shared" si="2"/>
        <v>52</v>
      </c>
      <c r="D43" s="10">
        <f>IF(B43=0,0,(('Inputs &amp; Parameters'!$B$18/$B$11)*($B$5*52)))</f>
        <v>424.32</v>
      </c>
      <c r="E43" s="10">
        <f>B43*'Inputs &amp; Parameters'!$B$18</f>
        <v>10608</v>
      </c>
      <c r="G43" s="16">
        <f t="shared" si="1"/>
        <v>339353.04</v>
      </c>
      <c r="H43" s="16">
        <f>IF(B43=0,0,SUM($B$31*D43,$B$35*$B$5*$B$6*52)*VLOOKUP($A43,NPV!$B$3:$D$44,2,0))</f>
        <v>265816.79772309912</v>
      </c>
      <c r="I43" s="16">
        <f t="shared" si="3"/>
        <v>16692</v>
      </c>
      <c r="J43" s="16">
        <f>I43*VLOOKUP($A43,NPV!$B$3:$D$44,2,0)</f>
        <v>13074.920406176325</v>
      </c>
      <c r="K43" s="16">
        <f t="shared" si="4"/>
        <v>356045.04</v>
      </c>
      <c r="L43" s="16">
        <f t="shared" si="5"/>
        <v>278891.71812927542</v>
      </c>
      <c r="N43" s="16">
        <f t="shared" si="6"/>
        <v>120265.59999999999</v>
      </c>
      <c r="O43" s="16">
        <f>(D43*$B$33+C43*$B$29)*VLOOKUP($A43,NPV!$B$3:$D$44,3,0)</f>
        <v>102645.53158540148</v>
      </c>
      <c r="P43" s="16">
        <f t="shared" si="7"/>
        <v>973300.64</v>
      </c>
      <c r="Q43" s="16">
        <f>(D43*$B$32+C43*$B$28)*VLOOKUP($A43,NPV!$B$3:$D$44,2,0)</f>
        <v>762390.86983467999</v>
      </c>
      <c r="R43" s="16">
        <f t="shared" si="8"/>
        <v>1093566.24</v>
      </c>
      <c r="S43" s="16">
        <f t="shared" si="9"/>
        <v>865036.4014200815</v>
      </c>
      <c r="U43" s="16">
        <f t="shared" si="10"/>
        <v>107.20656996206205</v>
      </c>
      <c r="V43" s="16">
        <f>E43*$B$22*$C$17*$D$17*VLOOKUP($A43,NPV!$B$3:$D$44,2,0)</f>
        <v>83.975399549073501</v>
      </c>
      <c r="W43" s="16">
        <f t="shared" si="11"/>
        <v>254.54632448114265</v>
      </c>
      <c r="X43" s="16">
        <f>E43*$B$22*$C$16*$D$16*VLOOKUP($A43,NPV!$B$3:$D$44,2,0)</f>
        <v>199.38730722955142</v>
      </c>
      <c r="Y43" s="16">
        <f t="shared" si="12"/>
        <v>2265.194361972774</v>
      </c>
      <c r="Z43" s="16">
        <f>E43*$B$22*$C$15*$D$15*VLOOKUP($A43,NPV!$B$3:$D$44,2,0)</f>
        <v>1774.3371667453503</v>
      </c>
      <c r="AA43" s="16">
        <f t="shared" si="13"/>
        <v>2626.9472564159787</v>
      </c>
      <c r="AB43" s="16">
        <f t="shared" si="14"/>
        <v>2057.6998735239749</v>
      </c>
      <c r="AD43" s="16">
        <f t="shared" si="15"/>
        <v>1452238.2272564161</v>
      </c>
      <c r="AE43" s="16">
        <f t="shared" si="16"/>
        <v>1145985.8194228809</v>
      </c>
    </row>
    <row r="44" spans="1:31" x14ac:dyDescent="0.25">
      <c r="A44" s="5">
        <f t="shared" si="17"/>
        <v>2031</v>
      </c>
      <c r="B44" s="10">
        <f t="shared" si="0"/>
        <v>52</v>
      </c>
      <c r="C44" s="10">
        <f t="shared" si="2"/>
        <v>52</v>
      </c>
      <c r="D44" s="10">
        <f>IF(B44=0,0,(('Inputs &amp; Parameters'!$B$18/$B$11)*($B$5*52)))</f>
        <v>424.32</v>
      </c>
      <c r="E44" s="10">
        <f>B44*'Inputs &amp; Parameters'!$B$18</f>
        <v>10608</v>
      </c>
      <c r="G44" s="16">
        <f t="shared" si="1"/>
        <v>339353.04</v>
      </c>
      <c r="H44" s="16">
        <f>IF(B44=0,0,SUM($B$31*D44,$B$35*$B$5*$B$6*52)*VLOOKUP($A44,NPV!$B$3:$D$44,2,0))</f>
        <v>257824.2460941796</v>
      </c>
      <c r="I44" s="16">
        <f t="shared" si="3"/>
        <v>16692</v>
      </c>
      <c r="J44" s="16">
        <f>I44*VLOOKUP($A44,NPV!$B$3:$D$44,2,0)</f>
        <v>12681.785069036205</v>
      </c>
      <c r="K44" s="16">
        <f t="shared" si="4"/>
        <v>356045.04</v>
      </c>
      <c r="L44" s="16">
        <f t="shared" si="5"/>
        <v>270506.03116321581</v>
      </c>
      <c r="N44" s="16">
        <f t="shared" si="6"/>
        <v>120265.59999999999</v>
      </c>
      <c r="O44" s="16">
        <f>(D44*$B$33+C44*$B$29)*VLOOKUP($A44,NPV!$B$3:$D$44,3,0)</f>
        <v>100632.87410333479</v>
      </c>
      <c r="P44" s="16">
        <f t="shared" si="7"/>
        <v>973300.64</v>
      </c>
      <c r="Q44" s="16">
        <f>(D44*$B$32+C44*$B$28)*VLOOKUP($A44,NPV!$B$3:$D$44,2,0)</f>
        <v>739467.38102296798</v>
      </c>
      <c r="R44" s="16">
        <f t="shared" si="8"/>
        <v>1093566.24</v>
      </c>
      <c r="S44" s="16">
        <f t="shared" si="9"/>
        <v>840100.25512630283</v>
      </c>
      <c r="U44" s="16">
        <f t="shared" si="10"/>
        <v>107.20656996206205</v>
      </c>
      <c r="V44" s="16">
        <f>E44*$B$22*$C$17*$D$17*VLOOKUP($A44,NPV!$B$3:$D$44,2,0)</f>
        <v>81.450436032079068</v>
      </c>
      <c r="W44" s="16">
        <f t="shared" si="11"/>
        <v>254.54632448114265</v>
      </c>
      <c r="X44" s="16">
        <f>E44*$B$22*$C$16*$D$16*VLOOKUP($A44,NPV!$B$3:$D$44,2,0)</f>
        <v>193.39215056212555</v>
      </c>
      <c r="Y44" s="16">
        <f t="shared" si="12"/>
        <v>2265.194361972774</v>
      </c>
      <c r="Z44" s="16">
        <f>E44*$B$22*$C$15*$D$15*VLOOKUP($A44,NPV!$B$3:$D$44,2,0)</f>
        <v>1720.9865826822022</v>
      </c>
      <c r="AA44" s="16">
        <f t="shared" si="13"/>
        <v>2626.9472564159787</v>
      </c>
      <c r="AB44" s="16">
        <f t="shared" si="14"/>
        <v>1995.8291692764069</v>
      </c>
      <c r="AD44" s="16">
        <f t="shared" si="15"/>
        <v>1452238.2272564161</v>
      </c>
      <c r="AE44" s="16">
        <f t="shared" si="16"/>
        <v>1112602.1154587951</v>
      </c>
    </row>
    <row r="45" spans="1:31" x14ac:dyDescent="0.25">
      <c r="A45" s="5">
        <f t="shared" si="17"/>
        <v>2032</v>
      </c>
      <c r="B45" s="10">
        <f t="shared" si="0"/>
        <v>52</v>
      </c>
      <c r="C45" s="10">
        <f t="shared" si="2"/>
        <v>52</v>
      </c>
      <c r="D45" s="10">
        <f>IF(B45=0,0,(('Inputs &amp; Parameters'!$B$18/$B$11)*($B$5*52)))</f>
        <v>424.32</v>
      </c>
      <c r="E45" s="10">
        <f>B45*'Inputs &amp; Parameters'!$B$18</f>
        <v>10608</v>
      </c>
      <c r="G45" s="16">
        <f t="shared" si="1"/>
        <v>339353.04</v>
      </c>
      <c r="H45" s="16">
        <f>IF(B45=0,0,SUM($B$31*D45,$B$35*$B$5*$B$6*52)*VLOOKUP($A45,NPV!$B$3:$D$44,2,0))</f>
        <v>250072.01367039728</v>
      </c>
      <c r="I45" s="16">
        <f t="shared" si="3"/>
        <v>16692</v>
      </c>
      <c r="J45" s="16">
        <f>I45*VLOOKUP($A45,NPV!$B$3:$D$44,2,0)</f>
        <v>12300.470484031237</v>
      </c>
      <c r="K45" s="16">
        <f t="shared" si="4"/>
        <v>356045.04</v>
      </c>
      <c r="L45" s="16">
        <f t="shared" si="5"/>
        <v>262372.48415442853</v>
      </c>
      <c r="N45" s="16">
        <f t="shared" si="6"/>
        <v>120265.59999999999</v>
      </c>
      <c r="O45" s="16">
        <f>(D45*$B$33+C45*$B$29)*VLOOKUP($A45,NPV!$B$3:$D$44,3,0)</f>
        <v>98659.680493465479</v>
      </c>
      <c r="P45" s="16">
        <f t="shared" si="7"/>
        <v>973300.64</v>
      </c>
      <c r="Q45" s="16">
        <f>(D45*$B$32+C45*$B$28)*VLOOKUP($A45,NPV!$B$3:$D$44,2,0)</f>
        <v>717233.15327155008</v>
      </c>
      <c r="R45" s="16">
        <f t="shared" si="8"/>
        <v>1093566.24</v>
      </c>
      <c r="S45" s="16">
        <f t="shared" si="9"/>
        <v>815892.83376501559</v>
      </c>
      <c r="U45" s="16">
        <f t="shared" si="10"/>
        <v>107.20656996206205</v>
      </c>
      <c r="V45" s="16">
        <f>E45*$B$22*$C$17*$D$17*VLOOKUP($A45,NPV!$B$3:$D$44,2,0)</f>
        <v>79.001392853616949</v>
      </c>
      <c r="W45" s="16">
        <f t="shared" si="11"/>
        <v>254.54632448114265</v>
      </c>
      <c r="X45" s="16">
        <f>E45*$B$22*$C$16*$D$16*VLOOKUP($A45,NPV!$B$3:$D$44,2,0)</f>
        <v>187.57725563736719</v>
      </c>
      <c r="Y45" s="16">
        <f t="shared" si="12"/>
        <v>2265.194361972774</v>
      </c>
      <c r="Z45" s="16">
        <f>E45*$B$22*$C$15*$D$15*VLOOKUP($A45,NPV!$B$3:$D$44,2,0)</f>
        <v>1669.2401383920487</v>
      </c>
      <c r="AA45" s="16">
        <f t="shared" si="13"/>
        <v>2626.9472564159787</v>
      </c>
      <c r="AB45" s="16">
        <f t="shared" si="14"/>
        <v>1935.8187868830328</v>
      </c>
      <c r="AD45" s="16">
        <f t="shared" si="15"/>
        <v>1452238.2272564161</v>
      </c>
      <c r="AE45" s="16">
        <f t="shared" si="16"/>
        <v>1080201.1367063271</v>
      </c>
    </row>
    <row r="46" spans="1:31" x14ac:dyDescent="0.25">
      <c r="A46" s="5">
        <f t="shared" si="17"/>
        <v>2033</v>
      </c>
      <c r="B46" s="10">
        <f t="shared" si="0"/>
        <v>52</v>
      </c>
      <c r="C46" s="10">
        <f t="shared" si="2"/>
        <v>52</v>
      </c>
      <c r="D46" s="10">
        <f>IF(B46=0,0,(('Inputs &amp; Parameters'!$B$18/$B$11)*($B$5*52)))</f>
        <v>424.32</v>
      </c>
      <c r="E46" s="10">
        <f>B46*'Inputs &amp; Parameters'!$B$18</f>
        <v>10608</v>
      </c>
      <c r="G46" s="16">
        <f t="shared" si="1"/>
        <v>339353.04</v>
      </c>
      <c r="H46" s="16">
        <f>IF(B46=0,0,SUM($B$31*D46,$B$35*$B$5*$B$6*52)*VLOOKUP($A46,NPV!$B$3:$D$44,2,0))</f>
        <v>242552.87455906626</v>
      </c>
      <c r="I46" s="16">
        <f t="shared" si="3"/>
        <v>16692</v>
      </c>
      <c r="J46" s="16">
        <f>I46*VLOOKUP($A46,NPV!$B$3:$D$44,2,0)</f>
        <v>11930.621226024479</v>
      </c>
      <c r="K46" s="16">
        <f t="shared" si="4"/>
        <v>356045.04</v>
      </c>
      <c r="L46" s="16">
        <f t="shared" si="5"/>
        <v>254483.49578509072</v>
      </c>
      <c r="N46" s="16">
        <f t="shared" si="6"/>
        <v>120265.59999999999</v>
      </c>
      <c r="O46" s="16">
        <f>(D46*$B$33+C46*$B$29)*VLOOKUP($A46,NPV!$B$3:$D$44,3,0)</f>
        <v>96725.176954377937</v>
      </c>
      <c r="P46" s="16">
        <f t="shared" si="7"/>
        <v>973300.64</v>
      </c>
      <c r="Q46" s="16">
        <f>(D46*$B$32+C46*$B$28)*VLOOKUP($A46,NPV!$B$3:$D$44,2,0)</f>
        <v>695667.46195106697</v>
      </c>
      <c r="R46" s="16">
        <f t="shared" si="8"/>
        <v>1093566.24</v>
      </c>
      <c r="S46" s="16">
        <f t="shared" si="9"/>
        <v>792392.63890544488</v>
      </c>
      <c r="U46" s="16">
        <f t="shared" si="10"/>
        <v>107.20656996206205</v>
      </c>
      <c r="V46" s="16">
        <f>E46*$B$22*$C$17*$D$17*VLOOKUP($A46,NPV!$B$3:$D$44,2,0)</f>
        <v>76.625987248901026</v>
      </c>
      <c r="W46" s="16">
        <f t="shared" si="11"/>
        <v>254.54632448114265</v>
      </c>
      <c r="X46" s="16">
        <f>E46*$B$22*$C$16*$D$16*VLOOKUP($A46,NPV!$B$3:$D$44,2,0)</f>
        <v>181.93720236408069</v>
      </c>
      <c r="Y46" s="16">
        <f t="shared" si="12"/>
        <v>2265.194361972774</v>
      </c>
      <c r="Z46" s="16">
        <f>E46*$B$22*$C$15*$D$15*VLOOKUP($A46,NPV!$B$3:$D$44,2,0)</f>
        <v>1619.0496007682336</v>
      </c>
      <c r="AA46" s="16">
        <f t="shared" si="13"/>
        <v>2626.9472564159787</v>
      </c>
      <c r="AB46" s="16">
        <f t="shared" si="14"/>
        <v>1877.6127903812153</v>
      </c>
      <c r="AD46" s="16">
        <f t="shared" si="15"/>
        <v>1452238.2272564161</v>
      </c>
      <c r="AE46" s="16">
        <f t="shared" si="16"/>
        <v>1048753.7474809168</v>
      </c>
    </row>
    <row r="47" spans="1:31" x14ac:dyDescent="0.25">
      <c r="A47" s="5">
        <f t="shared" si="17"/>
        <v>2034</v>
      </c>
      <c r="B47" s="10">
        <f t="shared" si="0"/>
        <v>52</v>
      </c>
      <c r="C47" s="10">
        <f t="shared" si="2"/>
        <v>52</v>
      </c>
      <c r="D47" s="10">
        <f>IF(B47=0,0,(('Inputs &amp; Parameters'!$B$18/$B$11)*($B$5*52)))</f>
        <v>424.32</v>
      </c>
      <c r="E47" s="10">
        <f>B47*'Inputs &amp; Parameters'!$B$18</f>
        <v>10608</v>
      </c>
      <c r="G47" s="16">
        <f t="shared" si="1"/>
        <v>339353.04</v>
      </c>
      <c r="H47" s="16">
        <f>IF(B47=0,0,SUM($B$31*D47,$B$35*$B$5*$B$6*52)*VLOOKUP($A47,NPV!$B$3:$D$44,2,0))</f>
        <v>235259.82013488482</v>
      </c>
      <c r="I47" s="16">
        <f t="shared" si="3"/>
        <v>16692</v>
      </c>
      <c r="J47" s="16">
        <f>I47*VLOOKUP($A47,NPV!$B$3:$D$44,2,0)</f>
        <v>11571.892556764771</v>
      </c>
      <c r="K47" s="16">
        <f t="shared" si="4"/>
        <v>356045.04</v>
      </c>
      <c r="L47" s="16">
        <f t="shared" si="5"/>
        <v>246831.71269164959</v>
      </c>
      <c r="N47" s="16">
        <f t="shared" si="6"/>
        <v>120265.59999999999</v>
      </c>
      <c r="O47" s="16">
        <f>(D47*$B$33+C47*$B$29)*VLOOKUP($A47,NPV!$B$3:$D$44,3,0)</f>
        <v>94828.604857233251</v>
      </c>
      <c r="P47" s="16">
        <f t="shared" si="7"/>
        <v>973300.64</v>
      </c>
      <c r="Q47" s="16">
        <f>(D47*$B$32+C47*$B$28)*VLOOKUP($A47,NPV!$B$3:$D$44,2,0)</f>
        <v>674750.20557814452</v>
      </c>
      <c r="R47" s="16">
        <f t="shared" si="8"/>
        <v>1093566.24</v>
      </c>
      <c r="S47" s="16">
        <f t="shared" si="9"/>
        <v>769578.81043537776</v>
      </c>
      <c r="U47" s="16">
        <f t="shared" si="10"/>
        <v>107.20656996206205</v>
      </c>
      <c r="V47" s="16">
        <f>E47*$B$22*$C$17*$D$17*VLOOKUP($A47,NPV!$B$3:$D$44,2,0)</f>
        <v>74.322005091077614</v>
      </c>
      <c r="W47" s="16">
        <f t="shared" si="11"/>
        <v>254.54632448114265</v>
      </c>
      <c r="X47" s="16">
        <f>E47*$B$22*$C$16*$D$16*VLOOKUP($A47,NPV!$B$3:$D$44,2,0)</f>
        <v>176.46673362180474</v>
      </c>
      <c r="Y47" s="16">
        <f t="shared" si="12"/>
        <v>2265.194361972774</v>
      </c>
      <c r="Z47" s="16">
        <f>E47*$B$22*$C$15*$D$15*VLOOKUP($A47,NPV!$B$3:$D$44,2,0)</f>
        <v>1570.3681869720986</v>
      </c>
      <c r="AA47" s="16">
        <f t="shared" si="13"/>
        <v>2626.9472564159787</v>
      </c>
      <c r="AB47" s="16">
        <f t="shared" si="14"/>
        <v>1821.1569256849809</v>
      </c>
      <c r="AD47" s="16">
        <f t="shared" si="15"/>
        <v>1452238.2272564161</v>
      </c>
      <c r="AE47" s="16">
        <f t="shared" si="16"/>
        <v>1018231.6800527123</v>
      </c>
    </row>
    <row r="48" spans="1:31" x14ac:dyDescent="0.25">
      <c r="A48" s="5">
        <f t="shared" si="17"/>
        <v>2035</v>
      </c>
      <c r="B48" s="10">
        <f t="shared" si="0"/>
        <v>52</v>
      </c>
      <c r="C48" s="10">
        <f t="shared" si="2"/>
        <v>52</v>
      </c>
      <c r="D48" s="10">
        <f>IF(B48=0,0,(('Inputs &amp; Parameters'!$B$18/$B$11)*($B$5*52)))</f>
        <v>424.32</v>
      </c>
      <c r="E48" s="10">
        <f>B48*'Inputs &amp; Parameters'!$B$18</f>
        <v>10608</v>
      </c>
      <c r="G48" s="16">
        <f t="shared" si="1"/>
        <v>339353.04</v>
      </c>
      <c r="H48" s="16">
        <f>IF(B48=0,0,SUM($B$31*D48,$B$35*$B$5*$B$6*52)*VLOOKUP($A48,NPV!$B$3:$D$44,2,0))</f>
        <v>228186.05250716279</v>
      </c>
      <c r="I48" s="16">
        <f t="shared" si="3"/>
        <v>16692</v>
      </c>
      <c r="J48" s="16">
        <f>I48*VLOOKUP($A48,NPV!$B$3:$D$44,2,0)</f>
        <v>11223.95010355458</v>
      </c>
      <c r="K48" s="16">
        <f t="shared" si="4"/>
        <v>356045.04</v>
      </c>
      <c r="L48" s="16">
        <f t="shared" si="5"/>
        <v>239410.00261071738</v>
      </c>
      <c r="N48" s="16">
        <f t="shared" si="6"/>
        <v>120265.59999999999</v>
      </c>
      <c r="O48" s="16">
        <f>(D48*$B$33+C48*$B$29)*VLOOKUP($A48,NPV!$B$3:$D$44,3,0)</f>
        <v>92969.220448267908</v>
      </c>
      <c r="P48" s="16">
        <f t="shared" si="7"/>
        <v>973300.64</v>
      </c>
      <c r="Q48" s="16">
        <f>(D48*$B$32+C48*$B$28)*VLOOKUP($A48,NPV!$B$3:$D$44,2,0)</f>
        <v>654461.88707870466</v>
      </c>
      <c r="R48" s="16">
        <f t="shared" si="8"/>
        <v>1093566.24</v>
      </c>
      <c r="S48" s="16">
        <f t="shared" si="9"/>
        <v>747431.10752697254</v>
      </c>
      <c r="U48" s="16">
        <f t="shared" si="10"/>
        <v>107.20656996206205</v>
      </c>
      <c r="V48" s="16">
        <f>E48*$B$22*$C$17*$D$17*VLOOKUP($A48,NPV!$B$3:$D$44,2,0)</f>
        <v>72.087298827427361</v>
      </c>
      <c r="W48" s="16">
        <f t="shared" si="11"/>
        <v>254.54632448114265</v>
      </c>
      <c r="X48" s="16">
        <f>E48*$B$22*$C$16*$D$16*VLOOKUP($A48,NPV!$B$3:$D$44,2,0)</f>
        <v>171.16075036062537</v>
      </c>
      <c r="Y48" s="16">
        <f t="shared" si="12"/>
        <v>2265.194361972774</v>
      </c>
      <c r="Z48" s="16">
        <f>E48*$B$22*$C$15*$D$15*VLOOKUP($A48,NPV!$B$3:$D$44,2,0)</f>
        <v>1523.1505208264778</v>
      </c>
      <c r="AA48" s="16">
        <f t="shared" si="13"/>
        <v>2626.9472564159787</v>
      </c>
      <c r="AB48" s="16">
        <f t="shared" si="14"/>
        <v>1766.3985700145304</v>
      </c>
      <c r="AD48" s="16">
        <f t="shared" si="15"/>
        <v>1452238.2272564161</v>
      </c>
      <c r="AE48" s="16">
        <f t="shared" si="16"/>
        <v>988607.50870770437</v>
      </c>
    </row>
    <row r="49" spans="1:31" x14ac:dyDescent="0.25">
      <c r="A49" s="5">
        <f t="shared" si="17"/>
        <v>2036</v>
      </c>
      <c r="B49" s="10">
        <f t="shared" si="0"/>
        <v>52</v>
      </c>
      <c r="C49" s="10">
        <f t="shared" si="2"/>
        <v>52</v>
      </c>
      <c r="D49" s="10">
        <f>IF(B49=0,0,(('Inputs &amp; Parameters'!$B$18/$B$11)*($B$5*52)))</f>
        <v>424.32</v>
      </c>
      <c r="E49" s="10">
        <f>B49*'Inputs &amp; Parameters'!$B$18</f>
        <v>10608</v>
      </c>
      <c r="G49" s="16">
        <f t="shared" si="1"/>
        <v>339353.04</v>
      </c>
      <c r="H49" s="16">
        <f>IF(B49=0,0,SUM($B$31*D49,$B$35*$B$5*$B$6*52)*VLOOKUP($A49,NPV!$B$3:$D$44,2,0))</f>
        <v>221324.97818347509</v>
      </c>
      <c r="I49" s="16">
        <f t="shared" si="3"/>
        <v>16692</v>
      </c>
      <c r="J49" s="16">
        <f>I49*VLOOKUP($A49,NPV!$B$3:$D$44,2,0)</f>
        <v>10886.469547579614</v>
      </c>
      <c r="K49" s="16">
        <f t="shared" si="4"/>
        <v>356045.04</v>
      </c>
      <c r="L49" s="16">
        <f t="shared" si="5"/>
        <v>232211.44773105471</v>
      </c>
      <c r="N49" s="16">
        <f t="shared" si="6"/>
        <v>120265.59999999999</v>
      </c>
      <c r="O49" s="16">
        <f>(D49*$B$33+C49*$B$29)*VLOOKUP($A49,NPV!$B$3:$D$44,3,0)</f>
        <v>91146.29455712538</v>
      </c>
      <c r="P49" s="16">
        <f t="shared" si="7"/>
        <v>973300.64</v>
      </c>
      <c r="Q49" s="16">
        <f>(D49*$B$32+C49*$B$28)*VLOOKUP($A49,NPV!$B$3:$D$44,2,0)</f>
        <v>634783.59561465064</v>
      </c>
      <c r="R49" s="16">
        <f t="shared" si="8"/>
        <v>1093566.24</v>
      </c>
      <c r="S49" s="16">
        <f t="shared" si="9"/>
        <v>725929.89017177606</v>
      </c>
      <c r="U49" s="16">
        <f t="shared" si="10"/>
        <v>107.20656996206205</v>
      </c>
      <c r="V49" s="16">
        <f>E49*$B$22*$C$17*$D$17*VLOOKUP($A49,NPV!$B$3:$D$44,2,0)</f>
        <v>69.919785477621119</v>
      </c>
      <c r="W49" s="16">
        <f t="shared" si="11"/>
        <v>254.54632448114265</v>
      </c>
      <c r="X49" s="16">
        <f>E49*$B$22*$C$16*$D$16*VLOOKUP($A49,NPV!$B$3:$D$44,2,0)</f>
        <v>166.01430684832727</v>
      </c>
      <c r="Y49" s="16">
        <f t="shared" si="12"/>
        <v>2265.194361972774</v>
      </c>
      <c r="Z49" s="16">
        <f>E49*$B$22*$C$15*$D$15*VLOOKUP($A49,NPV!$B$3:$D$44,2,0)</f>
        <v>1477.3525905203473</v>
      </c>
      <c r="AA49" s="16">
        <f t="shared" si="13"/>
        <v>2626.9472564159787</v>
      </c>
      <c r="AB49" s="16">
        <f t="shared" si="14"/>
        <v>1713.2866828462957</v>
      </c>
      <c r="AD49" s="16">
        <f t="shared" si="15"/>
        <v>1452238.2272564161</v>
      </c>
      <c r="AE49" s="16">
        <f t="shared" si="16"/>
        <v>959854.62458567705</v>
      </c>
    </row>
    <row r="50" spans="1:31" x14ac:dyDescent="0.25">
      <c r="A50" s="5">
        <f t="shared" si="17"/>
        <v>2037</v>
      </c>
      <c r="B50" s="10">
        <f t="shared" si="0"/>
        <v>52</v>
      </c>
      <c r="C50" s="10">
        <f t="shared" si="2"/>
        <v>52</v>
      </c>
      <c r="D50" s="10">
        <f>IF(B50=0,0,(('Inputs &amp; Parameters'!$B$18/$B$11)*($B$5*52)))</f>
        <v>424.32</v>
      </c>
      <c r="E50" s="10">
        <f>B50*'Inputs &amp; Parameters'!$B$18</f>
        <v>10608</v>
      </c>
      <c r="G50" s="16">
        <f t="shared" si="1"/>
        <v>339353.04</v>
      </c>
      <c r="H50" s="16">
        <f>IF(B50=0,0,SUM($B$31*D50,$B$35*$B$5*$B$6*52)*VLOOKUP($A50,NPV!$B$3:$D$44,2,0))</f>
        <v>214670.2019238362</v>
      </c>
      <c r="I50" s="16">
        <f t="shared" si="3"/>
        <v>16692</v>
      </c>
      <c r="J50" s="16">
        <f>I50*VLOOKUP($A50,NPV!$B$3:$D$44,2,0)</f>
        <v>10559.136321609712</v>
      </c>
      <c r="K50" s="16">
        <f t="shared" si="4"/>
        <v>356045.04</v>
      </c>
      <c r="L50" s="16">
        <f t="shared" si="5"/>
        <v>225229.33824544592</v>
      </c>
      <c r="N50" s="16">
        <f t="shared" si="6"/>
        <v>120265.59999999999</v>
      </c>
      <c r="O50" s="16">
        <f>(D50*$B$33+C50*$B$29)*VLOOKUP($A50,NPV!$B$3:$D$44,3,0)</f>
        <v>89359.112310907251</v>
      </c>
      <c r="P50" s="16">
        <f t="shared" si="7"/>
        <v>973300.64</v>
      </c>
      <c r="Q50" s="16">
        <f>(D50*$B$32+C50*$B$28)*VLOOKUP($A50,NPV!$B$3:$D$44,2,0)</f>
        <v>615696.98895698413</v>
      </c>
      <c r="R50" s="16">
        <f t="shared" si="8"/>
        <v>1093566.24</v>
      </c>
      <c r="S50" s="16">
        <f t="shared" si="9"/>
        <v>705056.10126789135</v>
      </c>
      <c r="U50" s="16">
        <f t="shared" si="10"/>
        <v>107.20656996206205</v>
      </c>
      <c r="V50" s="16">
        <f>E50*$B$22*$C$17*$D$17*VLOOKUP($A50,NPV!$B$3:$D$44,2,0)</f>
        <v>67.817444692164045</v>
      </c>
      <c r="W50" s="16">
        <f t="shared" si="11"/>
        <v>254.54632448114265</v>
      </c>
      <c r="X50" s="16">
        <f>E50*$B$22*$C$16*$D$16*VLOOKUP($A50,NPV!$B$3:$D$44,2,0)</f>
        <v>161.02260606045323</v>
      </c>
      <c r="Y50" s="16">
        <f t="shared" si="12"/>
        <v>2265.194361972774</v>
      </c>
      <c r="Z50" s="16">
        <f>E50*$B$22*$C$15*$D$15*VLOOKUP($A50,NPV!$B$3:$D$44,2,0)</f>
        <v>1432.9317075852059</v>
      </c>
      <c r="AA50" s="16">
        <f t="shared" si="13"/>
        <v>2626.9472564159787</v>
      </c>
      <c r="AB50" s="16">
        <f t="shared" si="14"/>
        <v>1661.7717583378233</v>
      </c>
      <c r="AD50" s="16">
        <f t="shared" si="15"/>
        <v>1452238.2272564161</v>
      </c>
      <c r="AE50" s="16">
        <f t="shared" si="16"/>
        <v>931947.21127167519</v>
      </c>
    </row>
    <row r="51" spans="1:31" x14ac:dyDescent="0.25">
      <c r="A51" s="5">
        <f t="shared" si="17"/>
        <v>2038</v>
      </c>
      <c r="B51" s="10">
        <f t="shared" si="0"/>
        <v>52</v>
      </c>
      <c r="C51" s="10">
        <f t="shared" si="2"/>
        <v>52</v>
      </c>
      <c r="D51" s="10">
        <f>IF(B51=0,0,(('Inputs &amp; Parameters'!$B$18/$B$11)*($B$5*52)))</f>
        <v>424.32</v>
      </c>
      <c r="E51" s="10">
        <f>B51*'Inputs &amp; Parameters'!$B$18</f>
        <v>10608</v>
      </c>
      <c r="G51" s="16">
        <f t="shared" si="1"/>
        <v>339353.04</v>
      </c>
      <c r="H51" s="16">
        <f>IF(B51=0,0,SUM($B$31*D51,$B$35*$B$5*$B$6*52)*VLOOKUP($A51,NPV!$B$3:$D$44,2,0))</f>
        <v>208215.52077966649</v>
      </c>
      <c r="I51" s="16">
        <f t="shared" si="3"/>
        <v>16692</v>
      </c>
      <c r="J51" s="16">
        <f>I51*VLOOKUP($A51,NPV!$B$3:$D$44,2,0)</f>
        <v>10241.645316789245</v>
      </c>
      <c r="K51" s="16">
        <f t="shared" si="4"/>
        <v>356045.04</v>
      </c>
      <c r="L51" s="16">
        <f t="shared" si="5"/>
        <v>218457.16609645574</v>
      </c>
      <c r="N51" s="16">
        <f t="shared" si="6"/>
        <v>120265.59999999999</v>
      </c>
      <c r="O51" s="16">
        <f>(D51*$B$33+C51*$B$29)*VLOOKUP($A51,NPV!$B$3:$D$44,3,0)</f>
        <v>87606.972853830623</v>
      </c>
      <c r="P51" s="16">
        <f t="shared" si="7"/>
        <v>973300.64</v>
      </c>
      <c r="Q51" s="16">
        <f>(D51*$B$32+C51*$B$28)*VLOOKUP($A51,NPV!$B$3:$D$44,2,0)</f>
        <v>597184.27638892736</v>
      </c>
      <c r="R51" s="16">
        <f t="shared" si="8"/>
        <v>1093566.24</v>
      </c>
      <c r="S51" s="16">
        <f t="shared" si="9"/>
        <v>684791.24924275803</v>
      </c>
      <c r="U51" s="16">
        <f t="shared" si="10"/>
        <v>107.20656996206205</v>
      </c>
      <c r="V51" s="16">
        <f>E51*$B$22*$C$17*$D$17*VLOOKUP($A51,NPV!$B$3:$D$44,2,0)</f>
        <v>65.778316869218273</v>
      </c>
      <c r="W51" s="16">
        <f t="shared" si="11"/>
        <v>254.54632448114265</v>
      </c>
      <c r="X51" s="16">
        <f>E51*$B$22*$C$16*$D$16*VLOOKUP($A51,NPV!$B$3:$D$44,2,0)</f>
        <v>156.18099520897496</v>
      </c>
      <c r="Y51" s="16">
        <f t="shared" si="12"/>
        <v>2265.194361972774</v>
      </c>
      <c r="Z51" s="16">
        <f>E51*$B$22*$C$15*$D$15*VLOOKUP($A51,NPV!$B$3:$D$44,2,0)</f>
        <v>1389.8464671049524</v>
      </c>
      <c r="AA51" s="16">
        <f t="shared" si="13"/>
        <v>2626.9472564159787</v>
      </c>
      <c r="AB51" s="16">
        <f t="shared" si="14"/>
        <v>1611.8057791831457</v>
      </c>
      <c r="AD51" s="16">
        <f t="shared" si="15"/>
        <v>1452238.2272564161</v>
      </c>
      <c r="AE51" s="16">
        <f t="shared" si="16"/>
        <v>904860.22111839696</v>
      </c>
    </row>
    <row r="52" spans="1:31" x14ac:dyDescent="0.25">
      <c r="A52" s="5">
        <f t="shared" si="17"/>
        <v>2039</v>
      </c>
      <c r="B52" s="10">
        <f t="shared" si="0"/>
        <v>52</v>
      </c>
      <c r="C52" s="10">
        <f t="shared" si="2"/>
        <v>52</v>
      </c>
      <c r="D52" s="10">
        <f>IF(B52=0,0,(('Inputs &amp; Parameters'!$B$18/$B$11)*($B$5*52)))</f>
        <v>424.32</v>
      </c>
      <c r="E52" s="10">
        <f>B52*'Inputs &amp; Parameters'!$B$18</f>
        <v>10608</v>
      </c>
      <c r="G52" s="16">
        <f t="shared" si="1"/>
        <v>339353.04</v>
      </c>
      <c r="H52" s="16">
        <f>IF(B52=0,0,SUM($B$31*D52,$B$35*$B$5*$B$6*52)*VLOOKUP($A52,NPV!$B$3:$D$44,2,0))</f>
        <v>201954.91831199467</v>
      </c>
      <c r="I52" s="16">
        <f t="shared" si="3"/>
        <v>16692</v>
      </c>
      <c r="J52" s="16">
        <f>I52*VLOOKUP($A52,NPV!$B$3:$D$44,2,0)</f>
        <v>9933.7005982436913</v>
      </c>
      <c r="K52" s="16">
        <f t="shared" si="4"/>
        <v>356045.04</v>
      </c>
      <c r="L52" s="16">
        <f t="shared" si="5"/>
        <v>211888.61891023835</v>
      </c>
      <c r="N52" s="16">
        <f t="shared" si="6"/>
        <v>120265.59999999999</v>
      </c>
      <c r="O52" s="16">
        <f>(D52*$B$33+C52*$B$29)*VLOOKUP($A52,NPV!$B$3:$D$44,3,0)</f>
        <v>85889.189072382971</v>
      </c>
      <c r="P52" s="16">
        <f t="shared" si="7"/>
        <v>973300.64</v>
      </c>
      <c r="Q52" s="16">
        <f>(D52*$B$32+C52*$B$28)*VLOOKUP($A52,NPV!$B$3:$D$44,2,0)</f>
        <v>579228.20212311088</v>
      </c>
      <c r="R52" s="16">
        <f t="shared" si="8"/>
        <v>1093566.24</v>
      </c>
      <c r="S52" s="16">
        <f t="shared" si="9"/>
        <v>665117.39119549387</v>
      </c>
      <c r="U52" s="16">
        <f t="shared" si="10"/>
        <v>107.20656996206205</v>
      </c>
      <c r="V52" s="16">
        <f>E52*$B$22*$C$17*$D$17*VLOOKUP($A52,NPV!$B$3:$D$44,2,0)</f>
        <v>63.80050132804876</v>
      </c>
      <c r="W52" s="16">
        <f t="shared" si="11"/>
        <v>254.54632448114265</v>
      </c>
      <c r="X52" s="16">
        <f>E52*$B$22*$C$16*$D$16*VLOOKUP($A52,NPV!$B$3:$D$44,2,0)</f>
        <v>151.48496140540735</v>
      </c>
      <c r="Y52" s="16">
        <f t="shared" si="12"/>
        <v>2265.194361972774</v>
      </c>
      <c r="Z52" s="16">
        <f>E52*$B$22*$C$15*$D$15*VLOOKUP($A52,NPV!$B$3:$D$44,2,0)</f>
        <v>1348.0567091221651</v>
      </c>
      <c r="AA52" s="16">
        <f t="shared" si="13"/>
        <v>2626.9472564159787</v>
      </c>
      <c r="AB52" s="16">
        <f t="shared" si="14"/>
        <v>1563.3421718556212</v>
      </c>
      <c r="AD52" s="16">
        <f t="shared" si="15"/>
        <v>1452238.2272564161</v>
      </c>
      <c r="AE52" s="16">
        <f t="shared" si="16"/>
        <v>878569.35227758787</v>
      </c>
    </row>
    <row r="53" spans="1:31" x14ac:dyDescent="0.25">
      <c r="A53" s="5">
        <f t="shared" si="17"/>
        <v>2040</v>
      </c>
      <c r="B53" s="10">
        <f t="shared" si="0"/>
        <v>52</v>
      </c>
      <c r="C53" s="10">
        <f t="shared" si="2"/>
        <v>52</v>
      </c>
      <c r="D53" s="10">
        <f>IF(B53=0,0,(('Inputs &amp; Parameters'!$B$18/$B$11)*($B$5*52)))</f>
        <v>424.32</v>
      </c>
      <c r="E53" s="10">
        <f>B53*'Inputs &amp; Parameters'!$B$18</f>
        <v>10608</v>
      </c>
      <c r="G53" s="16">
        <f t="shared" si="1"/>
        <v>339353.04</v>
      </c>
      <c r="H53" s="16">
        <f>IF(B53=0,0,SUM($B$31*D53,$B$35*$B$5*$B$6*52)*VLOOKUP($A53,NPV!$B$3:$D$44,2,0))</f>
        <v>195882.55898350602</v>
      </c>
      <c r="I53" s="16">
        <f t="shared" si="3"/>
        <v>16692</v>
      </c>
      <c r="J53" s="16">
        <f>I53*VLOOKUP($A53,NPV!$B$3:$D$44,2,0)</f>
        <v>9635.0151292373357</v>
      </c>
      <c r="K53" s="16">
        <f t="shared" si="4"/>
        <v>356045.04</v>
      </c>
      <c r="L53" s="16">
        <f t="shared" si="5"/>
        <v>205517.57411274337</v>
      </c>
      <c r="N53" s="16">
        <f t="shared" si="6"/>
        <v>120265.59999999999</v>
      </c>
      <c r="O53" s="16">
        <f>(D53*$B$33+C53*$B$29)*VLOOKUP($A53,NPV!$B$3:$D$44,3,0)</f>
        <v>84205.087325865665</v>
      </c>
      <c r="P53" s="16">
        <f t="shared" si="7"/>
        <v>973300.64</v>
      </c>
      <c r="Q53" s="16">
        <f>(D53*$B$32+C53*$B$28)*VLOOKUP($A53,NPV!$B$3:$D$44,2,0)</f>
        <v>561812.02921737242</v>
      </c>
      <c r="R53" s="16">
        <f t="shared" si="8"/>
        <v>1093566.24</v>
      </c>
      <c r="S53" s="16">
        <f t="shared" si="9"/>
        <v>646017.11654323805</v>
      </c>
      <c r="U53" s="16">
        <f t="shared" si="10"/>
        <v>107.20656996206205</v>
      </c>
      <c r="V53" s="16">
        <f>E53*$B$22*$C$17*$D$17*VLOOKUP($A53,NPV!$B$3:$D$44,2,0)</f>
        <v>61.882154537389688</v>
      </c>
      <c r="W53" s="16">
        <f t="shared" si="11"/>
        <v>254.54632448114265</v>
      </c>
      <c r="X53" s="16">
        <f>E53*$B$22*$C$16*$D$16*VLOOKUP($A53,NPV!$B$3:$D$44,2,0)</f>
        <v>146.93012745432335</v>
      </c>
      <c r="Y53" s="16">
        <f t="shared" si="12"/>
        <v>2265.194361972774</v>
      </c>
      <c r="Z53" s="16">
        <f>E53*$B$22*$C$15*$D$15*VLOOKUP($A53,NPV!$B$3:$D$44,2,0)</f>
        <v>1307.5234812048161</v>
      </c>
      <c r="AA53" s="16">
        <f t="shared" si="13"/>
        <v>2626.9472564159787</v>
      </c>
      <c r="AB53" s="16">
        <f t="shared" si="14"/>
        <v>1516.3357631965291</v>
      </c>
      <c r="AD53" s="16">
        <f t="shared" si="15"/>
        <v>1452238.2272564161</v>
      </c>
      <c r="AE53" s="16">
        <f t="shared" si="16"/>
        <v>853051.026419178</v>
      </c>
    </row>
    <row r="54" spans="1:31" x14ac:dyDescent="0.25">
      <c r="A54" s="5">
        <f t="shared" si="17"/>
        <v>2041</v>
      </c>
      <c r="B54" s="10">
        <f t="shared" si="0"/>
        <v>52</v>
      </c>
      <c r="C54" s="10">
        <f t="shared" si="2"/>
        <v>52</v>
      </c>
      <c r="D54" s="10">
        <f>IF(B54=0,0,(('Inputs &amp; Parameters'!$B$18/$B$11)*($B$5*52)))</f>
        <v>424.32</v>
      </c>
      <c r="E54" s="10">
        <f>B54*'Inputs &amp; Parameters'!$B$18</f>
        <v>10608</v>
      </c>
      <c r="G54" s="16">
        <f t="shared" si="1"/>
        <v>339353.04</v>
      </c>
      <c r="H54" s="16">
        <f>IF(B54=0,0,SUM($B$31*D54,$B$35*$B$5*$B$6*52)*VLOOKUP($A54,NPV!$B$3:$D$44,2,0))</f>
        <v>189992.78271921052</v>
      </c>
      <c r="I54" s="16">
        <f t="shared" si="3"/>
        <v>16692</v>
      </c>
      <c r="J54" s="16">
        <f>I54*VLOOKUP($A54,NPV!$B$3:$D$44,2,0)</f>
        <v>9345.3105036249617</v>
      </c>
      <c r="K54" s="16">
        <f t="shared" si="4"/>
        <v>356045.04</v>
      </c>
      <c r="L54" s="16">
        <f t="shared" si="5"/>
        <v>199338.09322283548</v>
      </c>
      <c r="N54" s="16">
        <f t="shared" si="6"/>
        <v>120265.59999999999</v>
      </c>
      <c r="O54" s="16">
        <f>(D54*$B$33+C54*$B$29)*VLOOKUP($A54,NPV!$B$3:$D$44,3,0)</f>
        <v>82554.007182221234</v>
      </c>
      <c r="P54" s="16">
        <f t="shared" si="7"/>
        <v>973300.64</v>
      </c>
      <c r="Q54" s="16">
        <f>(D54*$B$32+C54*$B$28)*VLOOKUP($A54,NPV!$B$3:$D$44,2,0)</f>
        <v>544919.52397417312</v>
      </c>
      <c r="R54" s="16">
        <f t="shared" si="8"/>
        <v>1093566.24</v>
      </c>
      <c r="S54" s="16">
        <f t="shared" si="9"/>
        <v>627473.5311563944</v>
      </c>
      <c r="U54" s="16">
        <f t="shared" si="10"/>
        <v>107.20656996206205</v>
      </c>
      <c r="V54" s="16">
        <f>E54*$B$22*$C$17*$D$17*VLOOKUP($A54,NPV!$B$3:$D$44,2,0)</f>
        <v>60.021488397080205</v>
      </c>
      <c r="W54" s="16">
        <f t="shared" si="11"/>
        <v>254.54632448114265</v>
      </c>
      <c r="X54" s="16">
        <f>E54*$B$22*$C$16*$D$16*VLOOKUP($A54,NPV!$B$3:$D$44,2,0)</f>
        <v>142.51224777334951</v>
      </c>
      <c r="Y54" s="16">
        <f t="shared" si="12"/>
        <v>2265.194361972774</v>
      </c>
      <c r="Z54" s="16">
        <f>E54*$B$22*$C$15*$D$15*VLOOKUP($A54,NPV!$B$3:$D$44,2,0)</f>
        <v>1268.209002138522</v>
      </c>
      <c r="AA54" s="16">
        <f t="shared" si="13"/>
        <v>2626.9472564159787</v>
      </c>
      <c r="AB54" s="16">
        <f t="shared" si="14"/>
        <v>1470.7427383089516</v>
      </c>
      <c r="AD54" s="16">
        <f t="shared" si="15"/>
        <v>1452238.2272564161</v>
      </c>
      <c r="AE54" s="16">
        <f t="shared" si="16"/>
        <v>828282.36711753882</v>
      </c>
    </row>
    <row r="55" spans="1:31" x14ac:dyDescent="0.25">
      <c r="A55" s="5">
        <f t="shared" si="17"/>
        <v>2042</v>
      </c>
      <c r="B55" s="10">
        <f t="shared" si="0"/>
        <v>52</v>
      </c>
      <c r="C55" s="10">
        <f t="shared" si="2"/>
        <v>52</v>
      </c>
      <c r="D55" s="10">
        <f>IF(B55=0,0,(('Inputs &amp; Parameters'!$B$18/$B$11)*($B$5*52)))</f>
        <v>424.32</v>
      </c>
      <c r="E55" s="10">
        <f>B55*'Inputs &amp; Parameters'!$B$18</f>
        <v>10608</v>
      </c>
      <c r="G55" s="16">
        <f t="shared" si="1"/>
        <v>339353.04</v>
      </c>
      <c r="H55" s="16">
        <f>IF(B55=0,0,SUM($B$31*D55,$B$35*$B$5*$B$6*52)*VLOOKUP($A55,NPV!$B$3:$D$44,2,0))</f>
        <v>184280.09963066006</v>
      </c>
      <c r="I55" s="16">
        <f t="shared" si="3"/>
        <v>16692</v>
      </c>
      <c r="J55" s="16">
        <f>I55*VLOOKUP($A55,NPV!$B$3:$D$44,2,0)</f>
        <v>9064.3166863481692</v>
      </c>
      <c r="K55" s="16">
        <f t="shared" si="4"/>
        <v>356045.04</v>
      </c>
      <c r="L55" s="16">
        <f t="shared" si="5"/>
        <v>193344.41631700823</v>
      </c>
      <c r="N55" s="16">
        <f t="shared" si="6"/>
        <v>120265.59999999999</v>
      </c>
      <c r="O55" s="16">
        <f>(D55*$B$33+C55*$B$29)*VLOOKUP($A55,NPV!$B$3:$D$44,3,0)</f>
        <v>80935.301159040435</v>
      </c>
      <c r="P55" s="16">
        <f t="shared" si="7"/>
        <v>973300.64</v>
      </c>
      <c r="Q55" s="16">
        <f>(D55*$B$32+C55*$B$28)*VLOOKUP($A55,NPV!$B$3:$D$44,2,0)</f>
        <v>528534.94080909132</v>
      </c>
      <c r="R55" s="16">
        <f t="shared" si="8"/>
        <v>1093566.24</v>
      </c>
      <c r="S55" s="16">
        <f t="shared" si="9"/>
        <v>609470.24196813174</v>
      </c>
      <c r="U55" s="16">
        <f t="shared" si="10"/>
        <v>107.20656996206205</v>
      </c>
      <c r="V55" s="16">
        <f>E55*$B$22*$C$17*$D$17*VLOOKUP($A55,NPV!$B$3:$D$44,2,0)</f>
        <v>58.216768571367808</v>
      </c>
      <c r="W55" s="16">
        <f t="shared" si="11"/>
        <v>254.54632448114265</v>
      </c>
      <c r="X55" s="16">
        <f>E55*$B$22*$C$16*$D$16*VLOOKUP($A55,NPV!$B$3:$D$44,2,0)</f>
        <v>138.22720443583853</v>
      </c>
      <c r="Y55" s="16">
        <f t="shared" si="12"/>
        <v>2265.194361972774</v>
      </c>
      <c r="Z55" s="16">
        <f>E55*$B$22*$C$15*$D$15*VLOOKUP($A55,NPV!$B$3:$D$44,2,0)</f>
        <v>1230.0766267104966</v>
      </c>
      <c r="AA55" s="16">
        <f t="shared" si="13"/>
        <v>2626.9472564159787</v>
      </c>
      <c r="AB55" s="16">
        <f t="shared" si="14"/>
        <v>1426.5205997177029</v>
      </c>
      <c r="AD55" s="16">
        <f t="shared" si="15"/>
        <v>1452238.2272564161</v>
      </c>
      <c r="AE55" s="16">
        <f t="shared" si="16"/>
        <v>804241.17888485768</v>
      </c>
    </row>
    <row r="56" spans="1:31" x14ac:dyDescent="0.25">
      <c r="A56" s="5">
        <f t="shared" si="17"/>
        <v>2043</v>
      </c>
      <c r="B56" s="10">
        <f t="shared" si="0"/>
        <v>52</v>
      </c>
      <c r="C56" s="10">
        <f t="shared" si="2"/>
        <v>52</v>
      </c>
      <c r="D56" s="10">
        <f>IF(B56=0,0,(('Inputs &amp; Parameters'!$B$18/$B$11)*($B$5*52)))</f>
        <v>424.32</v>
      </c>
      <c r="E56" s="10">
        <f>B56*'Inputs &amp; Parameters'!$B$18</f>
        <v>10608</v>
      </c>
      <c r="G56" s="16">
        <f t="shared" si="1"/>
        <v>339353.04</v>
      </c>
      <c r="H56" s="16">
        <f>IF(B56=0,0,SUM($B$31*D56,$B$35*$B$5*$B$6*52)*VLOOKUP($A56,NPV!$B$3:$D$44,2,0))</f>
        <v>178739.18489879734</v>
      </c>
      <c r="I56" s="16">
        <f t="shared" si="3"/>
        <v>16692</v>
      </c>
      <c r="J56" s="16">
        <f>I56*VLOOKUP($A56,NPV!$B$3:$D$44,2,0)</f>
        <v>8791.7717617344024</v>
      </c>
      <c r="K56" s="16">
        <f t="shared" si="4"/>
        <v>356045.04</v>
      </c>
      <c r="L56" s="16">
        <f t="shared" si="5"/>
        <v>187530.95666053175</v>
      </c>
      <c r="N56" s="16">
        <f t="shared" si="6"/>
        <v>120265.59999999999</v>
      </c>
      <c r="O56" s="16">
        <f>(D56*$B$33+C56*$B$29)*VLOOKUP($A56,NPV!$B$3:$D$44,3,0)</f>
        <v>79348.334469647481</v>
      </c>
      <c r="P56" s="16">
        <f t="shared" si="7"/>
        <v>973300.64</v>
      </c>
      <c r="Q56" s="16">
        <f>(D56*$B$32+C56*$B$28)*VLOOKUP($A56,NPV!$B$3:$D$44,2,0)</f>
        <v>512643.00757428841</v>
      </c>
      <c r="R56" s="16">
        <f t="shared" si="8"/>
        <v>1093566.24</v>
      </c>
      <c r="S56" s="16">
        <f t="shared" si="9"/>
        <v>591991.3420439359</v>
      </c>
      <c r="U56" s="16">
        <f t="shared" si="10"/>
        <v>107.20656996206205</v>
      </c>
      <c r="V56" s="16">
        <f>E56*$B$22*$C$17*$D$17*VLOOKUP($A56,NPV!$B$3:$D$44,2,0)</f>
        <v>56.466312872325709</v>
      </c>
      <c r="W56" s="16">
        <f t="shared" si="11"/>
        <v>254.54632448114265</v>
      </c>
      <c r="X56" s="16">
        <f>E56*$B$22*$C$16*$D$16*VLOOKUP($A56,NPV!$B$3:$D$44,2,0)</f>
        <v>134.0710033325301</v>
      </c>
      <c r="Y56" s="16">
        <f t="shared" si="12"/>
        <v>2265.194361972774</v>
      </c>
      <c r="Z56" s="16">
        <f>E56*$B$22*$C$15*$D$15*VLOOKUP($A56,NPV!$B$3:$D$44,2,0)</f>
        <v>1193.0908115523732</v>
      </c>
      <c r="AA56" s="16">
        <f t="shared" si="13"/>
        <v>2626.9472564159787</v>
      </c>
      <c r="AB56" s="16">
        <f t="shared" si="14"/>
        <v>1383.6281277572291</v>
      </c>
      <c r="AD56" s="16">
        <f t="shared" si="15"/>
        <v>1452238.2272564161</v>
      </c>
      <c r="AE56" s="16">
        <f t="shared" si="16"/>
        <v>780905.92683222494</v>
      </c>
    </row>
    <row r="57" spans="1:31" x14ac:dyDescent="0.25">
      <c r="A57" s="5">
        <f t="shared" si="17"/>
        <v>2044</v>
      </c>
      <c r="B57" s="10">
        <f t="shared" si="0"/>
        <v>52</v>
      </c>
      <c r="C57" s="10">
        <f t="shared" si="2"/>
        <v>52</v>
      </c>
      <c r="D57" s="10">
        <f>IF(B57=0,0,(('Inputs &amp; Parameters'!$B$18/$B$11)*($B$5*52)))</f>
        <v>424.32</v>
      </c>
      <c r="E57" s="10">
        <f>B57*'Inputs &amp; Parameters'!$B$18</f>
        <v>10608</v>
      </c>
      <c r="G57" s="16">
        <f t="shared" si="1"/>
        <v>339353.04</v>
      </c>
      <c r="H57" s="16">
        <f>IF(B57=0,0,SUM($B$31*D57,$B$35*$B$5*$B$6*52)*VLOOKUP($A57,NPV!$B$3:$D$44,2,0))</f>
        <v>173364.8738106667</v>
      </c>
      <c r="I57" s="16">
        <f t="shared" si="3"/>
        <v>16692</v>
      </c>
      <c r="J57" s="16">
        <f>I57*VLOOKUP($A57,NPV!$B$3:$D$44,2,0)</f>
        <v>8527.4216893641169</v>
      </c>
      <c r="K57" s="16">
        <f t="shared" si="4"/>
        <v>356045.04</v>
      </c>
      <c r="L57" s="16">
        <f t="shared" si="5"/>
        <v>181892.29550003083</v>
      </c>
      <c r="N57" s="16">
        <f t="shared" si="6"/>
        <v>120265.59999999999</v>
      </c>
      <c r="O57" s="16">
        <f>(D57*$B$33+C57*$B$29)*VLOOKUP($A57,NPV!$B$3:$D$44,3,0)</f>
        <v>77792.484774164186</v>
      </c>
      <c r="P57" s="16">
        <f t="shared" si="7"/>
        <v>973300.64</v>
      </c>
      <c r="Q57" s="16">
        <f>(D57*$B$32+C57*$B$28)*VLOOKUP($A57,NPV!$B$3:$D$44,2,0)</f>
        <v>497228.91132326721</v>
      </c>
      <c r="R57" s="16">
        <f t="shared" si="8"/>
        <v>1093566.24</v>
      </c>
      <c r="S57" s="16">
        <f t="shared" si="9"/>
        <v>575021.39609743143</v>
      </c>
      <c r="U57" s="16">
        <f t="shared" si="10"/>
        <v>107.20656996206205</v>
      </c>
      <c r="V57" s="16">
        <f>E57*$B$22*$C$17*$D$17*VLOOKUP($A57,NPV!$B$3:$D$44,2,0)</f>
        <v>54.768489691877519</v>
      </c>
      <c r="W57" s="16">
        <f t="shared" si="11"/>
        <v>254.54632448114265</v>
      </c>
      <c r="X57" s="16">
        <f>E57*$B$22*$C$16*$D$16*VLOOKUP($A57,NPV!$B$3:$D$44,2,0)</f>
        <v>130.03977044862282</v>
      </c>
      <c r="Y57" s="16">
        <f t="shared" si="12"/>
        <v>2265.194361972774</v>
      </c>
      <c r="Z57" s="16">
        <f>E57*$B$22*$C$15*$D$15*VLOOKUP($A57,NPV!$B$3:$D$44,2,0)</f>
        <v>1157.2170820100614</v>
      </c>
      <c r="AA57" s="16">
        <f t="shared" si="13"/>
        <v>2626.9472564159787</v>
      </c>
      <c r="AB57" s="16">
        <f t="shared" si="14"/>
        <v>1342.0253421505618</v>
      </c>
      <c r="AD57" s="16">
        <f t="shared" si="15"/>
        <v>1452238.2272564161</v>
      </c>
      <c r="AE57" s="16">
        <f t="shared" si="16"/>
        <v>758255.71693961287</v>
      </c>
    </row>
    <row r="58" spans="1:31" x14ac:dyDescent="0.25">
      <c r="A58" s="5">
        <f t="shared" si="17"/>
        <v>2045</v>
      </c>
      <c r="B58" s="10">
        <f t="shared" si="0"/>
        <v>52</v>
      </c>
      <c r="C58" s="10">
        <f t="shared" si="2"/>
        <v>52</v>
      </c>
      <c r="D58" s="10">
        <f>IF(B58=0,0,(('Inputs &amp; Parameters'!$B$18/$B$11)*($B$5*52)))</f>
        <v>424.32</v>
      </c>
      <c r="E58" s="10">
        <f>B58*'Inputs &amp; Parameters'!$B$18</f>
        <v>10608</v>
      </c>
      <c r="G58" s="16">
        <f t="shared" si="1"/>
        <v>339353.04</v>
      </c>
      <c r="H58" s="16">
        <f>IF(B58=0,0,SUM($B$31*D58,$B$35*$B$5*$B$6*52)*VLOOKUP($A58,NPV!$B$3:$D$44,2,0))</f>
        <v>168152.1569453605</v>
      </c>
      <c r="I58" s="16">
        <f t="shared" si="3"/>
        <v>16692</v>
      </c>
      <c r="J58" s="16">
        <f>I58*VLOOKUP($A58,NPV!$B$3:$D$44,2,0)</f>
        <v>8271.0200672784831</v>
      </c>
      <c r="K58" s="16">
        <f t="shared" si="4"/>
        <v>356045.04</v>
      </c>
      <c r="L58" s="16">
        <f t="shared" si="5"/>
        <v>176423.17701263897</v>
      </c>
      <c r="N58" s="16">
        <f t="shared" si="6"/>
        <v>120265.59999999999</v>
      </c>
      <c r="O58" s="16">
        <f>(D58*$B$33+C58*$B$29)*VLOOKUP($A58,NPV!$B$3:$D$44,3,0)</f>
        <v>76267.141935455104</v>
      </c>
      <c r="P58" s="16">
        <f t="shared" si="7"/>
        <v>973300.64</v>
      </c>
      <c r="Q58" s="16">
        <f>(D58*$B$32+C58*$B$28)*VLOOKUP($A58,NPV!$B$3:$D$44,2,0)</f>
        <v>482278.28450365388</v>
      </c>
      <c r="R58" s="16">
        <f t="shared" si="8"/>
        <v>1093566.24</v>
      </c>
      <c r="S58" s="16">
        <f t="shared" si="9"/>
        <v>558545.42643910903</v>
      </c>
      <c r="U58" s="16">
        <f t="shared" si="10"/>
        <v>107.20656996206205</v>
      </c>
      <c r="V58" s="16">
        <f>E58*$B$22*$C$17*$D$17*VLOOKUP($A58,NPV!$B$3:$D$44,2,0)</f>
        <v>53.121716480967521</v>
      </c>
      <c r="W58" s="16">
        <f t="shared" si="11"/>
        <v>254.54632448114265</v>
      </c>
      <c r="X58" s="16">
        <f>E58*$B$22*$C$16*$D$16*VLOOKUP($A58,NPV!$B$3:$D$44,2,0)</f>
        <v>126.12974825278643</v>
      </c>
      <c r="Y58" s="16">
        <f t="shared" si="12"/>
        <v>2265.194361972774</v>
      </c>
      <c r="Z58" s="16">
        <f>E58*$B$22*$C$15*$D$15*VLOOKUP($A58,NPV!$B$3:$D$44,2,0)</f>
        <v>1122.4220000097587</v>
      </c>
      <c r="AA58" s="16">
        <f t="shared" si="13"/>
        <v>2626.9472564159787</v>
      </c>
      <c r="AB58" s="16">
        <f t="shared" si="14"/>
        <v>1301.6734647435126</v>
      </c>
      <c r="AD58" s="16">
        <f t="shared" si="15"/>
        <v>1452238.2272564161</v>
      </c>
      <c r="AE58" s="16">
        <f t="shared" si="16"/>
        <v>736270.27691649157</v>
      </c>
    </row>
    <row r="59" spans="1:31" x14ac:dyDescent="0.25">
      <c r="A59" s="5">
        <f t="shared" si="17"/>
        <v>2046</v>
      </c>
      <c r="B59" s="10">
        <f t="shared" si="0"/>
        <v>52</v>
      </c>
      <c r="C59" s="10">
        <f t="shared" si="2"/>
        <v>52</v>
      </c>
      <c r="D59" s="10">
        <f>IF(B59=0,0,(('Inputs &amp; Parameters'!$B$18/$B$11)*($B$5*52)))</f>
        <v>424.32</v>
      </c>
      <c r="E59" s="10">
        <f>B59*'Inputs &amp; Parameters'!$B$18</f>
        <v>10608</v>
      </c>
      <c r="G59" s="16">
        <f t="shared" si="1"/>
        <v>339353.04</v>
      </c>
      <c r="H59" s="16">
        <f>IF(B59=0,0,SUM($B$31*D59,$B$35*$B$5*$B$6*52)*VLOOKUP($A59,NPV!$B$3:$D$44,2,0))</f>
        <v>163096.1755047144</v>
      </c>
      <c r="I59" s="16">
        <f t="shared" si="3"/>
        <v>16692</v>
      </c>
      <c r="J59" s="16">
        <f>I59*VLOOKUP($A59,NPV!$B$3:$D$44,2,0)</f>
        <v>8022.327902306969</v>
      </c>
      <c r="K59" s="16">
        <f t="shared" si="4"/>
        <v>356045.04</v>
      </c>
      <c r="L59" s="16">
        <f t="shared" si="5"/>
        <v>171118.50340702137</v>
      </c>
      <c r="N59" s="16">
        <f t="shared" si="6"/>
        <v>120265.59999999999</v>
      </c>
      <c r="O59" s="16">
        <f>(D59*$B$33+C59*$B$29)*VLOOKUP($A59,NPV!$B$3:$D$44,3,0)</f>
        <v>74771.707779857941</v>
      </c>
      <c r="P59" s="16">
        <f t="shared" si="7"/>
        <v>973300.64</v>
      </c>
      <c r="Q59" s="16">
        <f>(D59*$B$32+C59*$B$28)*VLOOKUP($A59,NPV!$B$3:$D$44,2,0)</f>
        <v>467777.1915651348</v>
      </c>
      <c r="R59" s="16">
        <f t="shared" si="8"/>
        <v>1093566.24</v>
      </c>
      <c r="S59" s="16">
        <f t="shared" si="9"/>
        <v>542548.89934499271</v>
      </c>
      <c r="U59" s="16">
        <f t="shared" si="10"/>
        <v>107.20656996206205</v>
      </c>
      <c r="V59" s="16">
        <f>E59*$B$22*$C$17*$D$17*VLOOKUP($A59,NPV!$B$3:$D$44,2,0)</f>
        <v>51.524458274459292</v>
      </c>
      <c r="W59" s="16">
        <f t="shared" si="11"/>
        <v>254.54632448114265</v>
      </c>
      <c r="X59" s="16">
        <f>E59*$B$22*$C$16*$D$16*VLOOKUP($A59,NPV!$B$3:$D$44,2,0)</f>
        <v>122.33729219474922</v>
      </c>
      <c r="Y59" s="16">
        <f t="shared" si="12"/>
        <v>2265.194361972774</v>
      </c>
      <c r="Z59" s="16">
        <f>E59*$B$22*$C$15*$D$15*VLOOKUP($A59,NPV!$B$3:$D$44,2,0)</f>
        <v>1088.673132890164</v>
      </c>
      <c r="AA59" s="16">
        <f t="shared" si="13"/>
        <v>2626.9472564159787</v>
      </c>
      <c r="AB59" s="16">
        <f t="shared" si="14"/>
        <v>1262.5348833593725</v>
      </c>
      <c r="AD59" s="16">
        <f t="shared" si="15"/>
        <v>1452238.2272564161</v>
      </c>
      <c r="AE59" s="16">
        <f t="shared" si="16"/>
        <v>714929.93763537344</v>
      </c>
    </row>
    <row r="60" spans="1:31" x14ac:dyDescent="0.25">
      <c r="A60" s="5">
        <f t="shared" si="17"/>
        <v>2047</v>
      </c>
      <c r="B60" s="10">
        <f t="shared" si="0"/>
        <v>52</v>
      </c>
      <c r="C60" s="10">
        <f t="shared" si="2"/>
        <v>52</v>
      </c>
      <c r="D60" s="10">
        <f>IF(B60=0,0,(('Inputs &amp; Parameters'!$B$18/$B$11)*($B$5*52)))</f>
        <v>424.32</v>
      </c>
      <c r="E60" s="10">
        <f>B60*'Inputs &amp; Parameters'!$B$18</f>
        <v>10608</v>
      </c>
      <c r="G60" s="16">
        <f t="shared" si="1"/>
        <v>339353.04</v>
      </c>
      <c r="H60" s="16">
        <f>IF(B60=0,0,SUM($B$31*D60,$B$35*$B$5*$B$6*52)*VLOOKUP($A60,NPV!$B$3:$D$44,2,0))</f>
        <v>158192.21678439804</v>
      </c>
      <c r="I60" s="16">
        <f t="shared" si="3"/>
        <v>16692</v>
      </c>
      <c r="J60" s="16">
        <f>I60*VLOOKUP($A60,NPV!$B$3:$D$44,2,0)</f>
        <v>7781.1133873006484</v>
      </c>
      <c r="K60" s="16">
        <f t="shared" si="4"/>
        <v>356045.04</v>
      </c>
      <c r="L60" s="16">
        <f t="shared" si="5"/>
        <v>165973.3301716987</v>
      </c>
      <c r="N60" s="16">
        <f t="shared" si="6"/>
        <v>120265.59999999999</v>
      </c>
      <c r="O60" s="16">
        <f>(D60*$B$33+C60*$B$29)*VLOOKUP($A60,NPV!$B$3:$D$44,3,0)</f>
        <v>73305.595862605827</v>
      </c>
      <c r="P60" s="16">
        <f t="shared" si="7"/>
        <v>973300.64</v>
      </c>
      <c r="Q60" s="16">
        <f>(D60*$B$32+C60*$B$28)*VLOOKUP($A60,NPV!$B$3:$D$44,2,0)</f>
        <v>453712.11597006285</v>
      </c>
      <c r="R60" s="16">
        <f t="shared" si="8"/>
        <v>1093566.24</v>
      </c>
      <c r="S60" s="16">
        <f t="shared" si="9"/>
        <v>527017.71183266863</v>
      </c>
      <c r="U60" s="16">
        <f t="shared" si="10"/>
        <v>107.20656996206205</v>
      </c>
      <c r="V60" s="16">
        <f>E60*$B$22*$C$17*$D$17*VLOOKUP($A60,NPV!$B$3:$D$44,2,0)</f>
        <v>49.975226260387288</v>
      </c>
      <c r="W60" s="16">
        <f t="shared" si="11"/>
        <v>254.54632448114265</v>
      </c>
      <c r="X60" s="16">
        <f>E60*$B$22*$C$16*$D$16*VLOOKUP($A60,NPV!$B$3:$D$44,2,0)</f>
        <v>118.65886730819517</v>
      </c>
      <c r="Y60" s="16">
        <f t="shared" si="12"/>
        <v>2265.194361972774</v>
      </c>
      <c r="Z60" s="16">
        <f>E60*$B$22*$C$15*$D$15*VLOOKUP($A60,NPV!$B$3:$D$44,2,0)</f>
        <v>1055.9390231718369</v>
      </c>
      <c r="AA60" s="16">
        <f t="shared" si="13"/>
        <v>2626.9472564159787</v>
      </c>
      <c r="AB60" s="16">
        <f t="shared" si="14"/>
        <v>1224.5731167404192</v>
      </c>
      <c r="AD60" s="16">
        <f t="shared" si="15"/>
        <v>1452238.2272564161</v>
      </c>
      <c r="AE60" s="16">
        <f t="shared" si="16"/>
        <v>694215.61512110778</v>
      </c>
    </row>
    <row r="61" spans="1:31" x14ac:dyDescent="0.25">
      <c r="A61" s="11" t="s">
        <v>45</v>
      </c>
      <c r="B61" s="37">
        <f>SUBTOTAL(9,B41:B60)</f>
        <v>1040</v>
      </c>
      <c r="C61" s="37">
        <f>SUBTOTAL(9,C41:C60)</f>
        <v>1040</v>
      </c>
      <c r="D61" s="37">
        <f>SUBTOTAL(9,D41:D60)</f>
        <v>8486.3999999999978</v>
      </c>
      <c r="E61" s="37">
        <f>SUBTOTAL(9,E41:E60)</f>
        <v>212160</v>
      </c>
      <c r="G61" s="39">
        <f t="shared" ref="G61:K61" si="18">SUBTOTAL(9,G41:G60)</f>
        <v>6787060.7999999998</v>
      </c>
      <c r="H61" s="39">
        <f t="shared" si="18"/>
        <v>4294187.4807421332</v>
      </c>
      <c r="I61" s="39">
        <f t="shared" si="18"/>
        <v>333840</v>
      </c>
      <c r="J61" s="39">
        <f t="shared" si="18"/>
        <v>211221.26216564237</v>
      </c>
      <c r="K61" s="39">
        <f t="shared" si="18"/>
        <v>7120900.7999999998</v>
      </c>
      <c r="L61" s="39">
        <f>SUBTOTAL(9,L41:L60)</f>
        <v>4505408.7429077765</v>
      </c>
      <c r="N61" s="39">
        <f t="shared" ref="N61:R61" si="19">SUBTOTAL(9,N41:N60)</f>
        <v>2405312.0000000009</v>
      </c>
      <c r="O61" s="39">
        <f t="shared" si="19"/>
        <v>1781133.1710037459</v>
      </c>
      <c r="P61" s="39">
        <f t="shared" si="19"/>
        <v>19466012.800000004</v>
      </c>
      <c r="Q61" s="39">
        <f t="shared" si="19"/>
        <v>12316186.774947727</v>
      </c>
      <c r="R61" s="39">
        <f t="shared" si="19"/>
        <v>21871324.799999993</v>
      </c>
      <c r="S61" s="39">
        <f>SUBTOTAL(9,S41:S60)</f>
        <v>14097319.945951477</v>
      </c>
      <c r="T61" s="1"/>
      <c r="U61" s="39">
        <f t="shared" ref="U61:AA61" si="20">SUBTOTAL(9,U41:U60)</f>
        <v>2144.1313992412411</v>
      </c>
      <c r="V61" s="39">
        <f t="shared" si="20"/>
        <v>1356.59639467026</v>
      </c>
      <c r="W61" s="39">
        <f t="shared" si="20"/>
        <v>5090.9264896228533</v>
      </c>
      <c r="X61" s="39">
        <f t="shared" si="20"/>
        <v>3221.0397757328114</v>
      </c>
      <c r="Y61" s="39">
        <f t="shared" si="20"/>
        <v>45303.887239455493</v>
      </c>
      <c r="Z61" s="39">
        <f t="shared" si="20"/>
        <v>28663.863658422368</v>
      </c>
      <c r="AA61" s="39">
        <f t="shared" si="20"/>
        <v>52538.945128319596</v>
      </c>
      <c r="AB61" s="39">
        <f>SUBTOTAL(9,AB41:AB60)</f>
        <v>33241.499828825443</v>
      </c>
      <c r="AC61" s="1"/>
      <c r="AD61" s="39">
        <f>SUBTOTAL(9,AD41:AD60)</f>
        <v>29044764.545128327</v>
      </c>
      <c r="AE61" s="39">
        <f>SUBTOTAL(9,AE41:AE60)</f>
        <v>18635970.188688077</v>
      </c>
    </row>
    <row r="66" spans="28:28" x14ac:dyDescent="0.25">
      <c r="AB66" s="8"/>
    </row>
  </sheetData>
  <mergeCells count="3">
    <mergeCell ref="U39:AB39"/>
    <mergeCell ref="N39:S39"/>
    <mergeCell ref="G39:L39"/>
  </mergeCells>
  <hyperlinks>
    <hyperlink ref="C20" r:id="rId1" display="https://railroads.dot.gov/accident-and-incident-reporting/train-accident-reports/train-accidents-type" xr:uid="{FC1F9048-64AF-47BD-902A-48F1965AC737}"/>
    <hyperlink ref="C21" r:id="rId2" display="https://view.officeapps.live.com/op/view.aspx?src=https%3A%2F%2Fwww.bts.gov%2Fsites%2Fbts.dot.gov%2Ffiles%2F2022-10%2Ftable_rail_profile_103122.xlsx&amp;wdOrigin=BROWSELINK" xr:uid="{D7677E37-C9E8-4FA9-B7DB-99CA68FF570C}"/>
    <hyperlink ref="M18" r:id="rId3" display="https://railroads.dot.gov/accident-and-incident-reporting/train-accident-reports/train-accidents-type" xr:uid="{3C296874-5670-4AC7-B554-A819AE284DD5}"/>
    <hyperlink ref="N40" r:id="rId4" display="CO@" xr:uid="{8606845D-2E7A-41E3-89F8-E29F2CEBADA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787ded0e-1a78-4c7d-a0d8-36c722c284e0" xsi:nil="true"/>
    <Category xmlns="787ded0e-1a78-4c7d-a0d8-36c722c284e0">Application Information</Category>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584753C3CA604289FB85408E50D43D" ma:contentTypeVersion="4" ma:contentTypeDescription="Create a new document." ma:contentTypeScope="" ma:versionID="dbc11d7175c23da30eb309eeac413de5">
  <xsd:schema xmlns:xsd="http://www.w3.org/2001/XMLSchema" xmlns:xs="http://www.w3.org/2001/XMLSchema" xmlns:p="http://schemas.microsoft.com/office/2006/metadata/properties" xmlns:ns1="http://schemas.microsoft.com/sharepoint/v3" xmlns:ns2="16f00c2e-ac5c-418b-9f13-a0771dbd417d" xmlns:ns3="787ded0e-1a78-4c7d-a0d8-36c722c284e0" targetNamespace="http://schemas.microsoft.com/office/2006/metadata/properties" ma:root="true" ma:fieldsID="af8f01bd15d0bf3ca6980cca858db723" ns1:_="" ns2:_="" ns3:_="">
    <xsd:import namespace="http://schemas.microsoft.com/sharepoint/v3"/>
    <xsd:import namespace="16f00c2e-ac5c-418b-9f13-a0771dbd417d"/>
    <xsd:import namespace="787ded0e-1a78-4c7d-a0d8-36c722c284e0"/>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87ded0e-1a78-4c7d-a0d8-36c722c284e0"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C27922B-2B73-40A8-AA51-58B33CE8C869}">
  <ds:schemaRefs>
    <ds:schemaRef ds:uri="http://schemas.microsoft.com/sharepoint/v3/contenttype/forms"/>
  </ds:schemaRefs>
</ds:datastoreItem>
</file>

<file path=customXml/itemProps2.xml><?xml version="1.0" encoding="utf-8"?>
<ds:datastoreItem xmlns:ds="http://schemas.openxmlformats.org/officeDocument/2006/customXml" ds:itemID="{022D907A-E1BF-4DA1-ACCB-8554FD7B833A}">
  <ds:schemaRefs>
    <ds:schemaRef ds:uri="http://www.w3.org/XML/1998/namespace"/>
    <ds:schemaRef ds:uri="http://schemas.microsoft.com/office/2006/metadata/properties"/>
    <ds:schemaRef ds:uri="http://purl.org/dc/terms/"/>
    <ds:schemaRef ds:uri="c31e0f7f-412b-4376-84c6-e9375e39d4fa"/>
    <ds:schemaRef ds:uri="http://schemas.microsoft.com/office/2006/documentManagement/types"/>
    <ds:schemaRef ds:uri="http://schemas.openxmlformats.org/package/2006/metadata/core-properties"/>
    <ds:schemaRef ds:uri="f4bb6cb4-897e-4f44-8072-9ab36bfed02a"/>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8F5F3D70-E875-45AE-A1C6-3C12CF1A9BB3}"/>
</file>

<file path=customXml/itemProps4.xml><?xml version="1.0" encoding="utf-8"?>
<ds:datastoreItem xmlns:ds="http://schemas.openxmlformats.org/officeDocument/2006/customXml" ds:itemID="{E8183257-4372-41DE-87E5-C9DE130309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Sheet1</vt:lpstr>
      <vt:lpstr>Summary</vt:lpstr>
      <vt:lpstr>Benefits Summary Tab</vt:lpstr>
      <vt:lpstr>Inputs &amp; Parameters</vt:lpstr>
      <vt:lpstr>NPV</vt:lpstr>
      <vt:lpstr>Capital Costs</vt:lpstr>
      <vt:lpstr>Barge - Liquid</vt:lpstr>
      <vt:lpstr>Truck Diversion (No Build)- Dry</vt:lpstr>
      <vt:lpstr>Rail Diversion (No Build) - Dry</vt:lpstr>
      <vt:lpstr>Barge (Build) - Dry</vt:lpstr>
      <vt:lpstr>Barge (Build) - Liquid</vt:lpstr>
      <vt:lpstr>BCA - Liquid</vt:lpstr>
      <vt:lpstr>Team Note (delete when done)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PID BCA Calculations</dc:title>
  <dc:subject/>
  <dc:creator>Stephanie Ayers</dc:creator>
  <cp:keywords/>
  <dc:description/>
  <cp:lastModifiedBy>Stephanie Ayers</cp:lastModifiedBy>
  <cp:revision/>
  <dcterms:created xsi:type="dcterms:W3CDTF">2023-10-25T16:10:48Z</dcterms:created>
  <dcterms:modified xsi:type="dcterms:W3CDTF">2024-04-22T15:48:35Z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0x0101005C584753C3CA604289FB85408E50D43D</vt:lpwstr>
  </property>
  <property fmtid="{D5CDD505-2E9C-101B-9397-08002B2CF9AE}" pid="3" name="MediaServiceImageTags">
    <vt:lpwstr/>
  </property>
  <property fmtid="{D5CDD505-2E9C-101B-9397-08002B2CF9AE}" pid="4" name="Order">
    <vt:r8>4100</vt:r8>
  </property>
</Properties>
</file>