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555" yWindow="1860" windowWidth="14355" windowHeight="11070"/>
  </bookViews>
  <sheets>
    <sheet name="Refined Method" sheetId="7" r:id="rId1"/>
    <sheet name="Calculations" sheetId="10" r:id="rId2"/>
    <sheet name="Girder Section Properties" sheetId="2" r:id="rId3"/>
  </sheets>
  <calcPr calcId="145621"/>
</workbook>
</file>

<file path=xl/calcChain.xml><?xml version="1.0" encoding="utf-8"?>
<calcChain xmlns="http://schemas.openxmlformats.org/spreadsheetml/2006/main">
  <c r="E88" i="7" l="1"/>
  <c r="E86" i="7"/>
  <c r="E84" i="7"/>
  <c r="E82" i="7"/>
  <c r="E80" i="7"/>
  <c r="E78" i="7"/>
  <c r="E76" i="7"/>
  <c r="E74" i="7"/>
  <c r="E72" i="7"/>
  <c r="E70" i="7"/>
  <c r="B70" i="7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H17" i="7" l="1"/>
  <c r="H11" i="10" s="1"/>
  <c r="H16" i="7"/>
  <c r="H10" i="10" s="1"/>
  <c r="H15" i="7"/>
  <c r="H9" i="10" s="1"/>
  <c r="H14" i="7"/>
  <c r="H8" i="10" s="1"/>
  <c r="H13" i="7"/>
  <c r="H7" i="10" s="1"/>
  <c r="A8" i="10"/>
  <c r="A11" i="10" l="1"/>
  <c r="D122" i="10" s="1"/>
  <c r="A38" i="10"/>
  <c r="B220" i="10" s="1"/>
  <c r="F23" i="10"/>
  <c r="G23" i="10"/>
  <c r="F24" i="10"/>
  <c r="G24" i="10"/>
  <c r="F25" i="10"/>
  <c r="G25" i="10"/>
  <c r="F26" i="10"/>
  <c r="G26" i="10"/>
  <c r="F27" i="10"/>
  <c r="G27" i="10"/>
  <c r="F28" i="10"/>
  <c r="G28" i="10"/>
  <c r="F29" i="10"/>
  <c r="G29" i="10"/>
  <c r="F30" i="10"/>
  <c r="G30" i="10"/>
  <c r="F31" i="10"/>
  <c r="G31" i="10"/>
  <c r="F32" i="10"/>
  <c r="G32" i="10"/>
  <c r="F33" i="10"/>
  <c r="G33" i="10"/>
  <c r="F34" i="10"/>
  <c r="G34" i="10"/>
  <c r="F35" i="10"/>
  <c r="G35" i="10"/>
  <c r="F36" i="10"/>
  <c r="G36" i="10"/>
  <c r="G22" i="10"/>
  <c r="F22" i="10"/>
  <c r="B23" i="10"/>
  <c r="C23" i="10"/>
  <c r="B24" i="10"/>
  <c r="C24" i="10"/>
  <c r="B25" i="10"/>
  <c r="C25" i="10"/>
  <c r="B26" i="10"/>
  <c r="C26" i="10"/>
  <c r="B27" i="10"/>
  <c r="C27" i="10"/>
  <c r="B28" i="10"/>
  <c r="C28" i="10"/>
  <c r="B29" i="10"/>
  <c r="C29" i="10"/>
  <c r="B30" i="10"/>
  <c r="C30" i="10"/>
  <c r="B31" i="10"/>
  <c r="C31" i="10"/>
  <c r="B32" i="10"/>
  <c r="C32" i="10"/>
  <c r="B33" i="10"/>
  <c r="C33" i="10"/>
  <c r="B34" i="10"/>
  <c r="C34" i="10"/>
  <c r="B35" i="10"/>
  <c r="C35" i="10"/>
  <c r="B36" i="10"/>
  <c r="C36" i="10"/>
  <c r="C22" i="10"/>
  <c r="B22" i="10"/>
  <c r="A15" i="10"/>
  <c r="B219" i="10" s="1"/>
  <c r="A13" i="10"/>
  <c r="B64" i="10" s="1"/>
  <c r="B43" i="10"/>
  <c r="F43" i="10" s="1"/>
  <c r="A9" i="10"/>
  <c r="B44" i="10" s="1"/>
  <c r="F44" i="10" s="1"/>
  <c r="D49" i="10" s="1"/>
  <c r="A10" i="10"/>
  <c r="B84" i="10" s="1"/>
  <c r="A7" i="10"/>
  <c r="B62" i="10" s="1"/>
  <c r="A6" i="10"/>
  <c r="B76" i="10" l="1"/>
  <c r="B79" i="10" s="1"/>
  <c r="B70" i="10"/>
  <c r="B73" i="10" s="1"/>
  <c r="D156" i="10"/>
  <c r="D65" i="10"/>
  <c r="D119" i="10"/>
  <c r="D125" i="10"/>
  <c r="D129" i="10"/>
  <c r="D136" i="10"/>
  <c r="D48" i="10"/>
  <c r="D143" i="10"/>
  <c r="B63" i="10"/>
  <c r="D148" i="10" l="1"/>
  <c r="C74" i="10"/>
  <c r="D85" i="10"/>
  <c r="D87" i="10" s="1"/>
  <c r="C93" i="10" s="1"/>
  <c r="C80" i="10"/>
  <c r="D169" i="10"/>
  <c r="D133" i="10"/>
  <c r="B234" i="10"/>
  <c r="B247" i="10" s="1"/>
  <c r="B265" i="10" s="1"/>
  <c r="D140" i="10"/>
  <c r="D166" i="10"/>
  <c r="E94" i="10" l="1"/>
  <c r="C96" i="10" s="1"/>
  <c r="D99" i="10" s="1"/>
  <c r="D100" i="10" s="1"/>
  <c r="C102" i="10" s="1"/>
  <c r="E174" i="10"/>
  <c r="D193" i="10" s="1"/>
  <c r="D151" i="10"/>
  <c r="D179" i="10" l="1"/>
  <c r="D197" i="10"/>
  <c r="D183" i="10"/>
  <c r="D112" i="10"/>
  <c r="B228" i="10" l="1"/>
  <c r="C113" i="10"/>
  <c r="C237" i="10" l="1"/>
  <c r="D188" i="10"/>
  <c r="F207" i="10" s="1"/>
  <c r="B252" i="10" s="1"/>
  <c r="D202" i="10"/>
  <c r="F211" i="10" s="1"/>
  <c r="B244" i="10" l="1"/>
  <c r="D255" i="10" s="1"/>
  <c r="B275" i="10"/>
  <c r="B262" i="10" l="1"/>
  <c r="D278" i="10" s="1"/>
  <c r="B255" i="7" l="1"/>
  <c r="B254" i="7" l="1"/>
  <c r="B149" i="7"/>
  <c r="B133" i="7"/>
  <c r="B178" i="7"/>
  <c r="B209" i="7" l="1"/>
  <c r="B143" i="7"/>
  <c r="B144" i="7" s="1"/>
  <c r="B139" i="7"/>
  <c r="B140" i="7" s="1"/>
  <c r="B150" i="7" l="1"/>
  <c r="B152" i="7" s="1"/>
  <c r="B158" i="7" l="1"/>
  <c r="B131" i="7"/>
  <c r="B122" i="7"/>
  <c r="E122" i="7" s="1"/>
  <c r="B127" i="7" s="1"/>
  <c r="B121" i="7"/>
  <c r="E121" i="7" s="1"/>
  <c r="B126" i="7" s="1"/>
  <c r="B175" i="7"/>
  <c r="B132" i="7" l="1"/>
  <c r="B266" i="7"/>
  <c r="B134" i="7"/>
  <c r="B181" i="7"/>
  <c r="B141" i="7"/>
  <c r="B145" i="7"/>
  <c r="B198" i="7"/>
  <c r="B185" i="7"/>
  <c r="B192" i="7"/>
  <c r="B159" i="7" l="1"/>
  <c r="B212" i="7"/>
  <c r="B189" i="7"/>
  <c r="B201" i="7"/>
  <c r="B220" i="7" s="1"/>
  <c r="B215" i="7"/>
  <c r="B278" i="7"/>
  <c r="B294" i="7" s="1"/>
  <c r="B195" i="7"/>
  <c r="B236" i="7" l="1"/>
  <c r="B224" i="7"/>
  <c r="C160" i="7"/>
  <c r="B163" i="7" s="1"/>
  <c r="B204" i="7"/>
  <c r="B164" i="7" l="1"/>
  <c r="B240" i="7" s="1"/>
  <c r="B165" i="7" l="1"/>
  <c r="B228" i="7"/>
  <c r="B168" i="7" l="1"/>
  <c r="B262" i="7" l="1"/>
  <c r="B169" i="7"/>
  <c r="B232" i="7" l="1"/>
  <c r="B244" i="7"/>
  <c r="B252" i="7" s="1"/>
  <c r="B269" i="7"/>
  <c r="B55" i="7" s="1"/>
  <c r="B248" i="7" l="1"/>
  <c r="B275" i="7" l="1"/>
  <c r="B291" i="7" s="1"/>
  <c r="B282" i="7"/>
  <c r="B298" i="7" s="1"/>
  <c r="B285" i="7" l="1"/>
  <c r="B56" i="7" s="1"/>
  <c r="B301" i="7"/>
  <c r="B57" i="7" s="1"/>
  <c r="D73" i="7" l="1"/>
  <c r="E73" i="7" s="1"/>
  <c r="D77" i="7"/>
  <c r="E77" i="7" s="1"/>
  <c r="D81" i="7"/>
  <c r="E81" i="7" s="1"/>
  <c r="D85" i="7"/>
  <c r="E85" i="7" s="1"/>
  <c r="D83" i="7"/>
  <c r="E83" i="7" s="1"/>
  <c r="D74" i="7"/>
  <c r="D78" i="7"/>
  <c r="D82" i="7"/>
  <c r="D86" i="7"/>
  <c r="D70" i="7"/>
  <c r="D75" i="7"/>
  <c r="E75" i="7" s="1"/>
  <c r="D72" i="7"/>
  <c r="D76" i="7"/>
  <c r="D80" i="7"/>
  <c r="D84" i="7"/>
  <c r="D88" i="7"/>
  <c r="D71" i="7"/>
  <c r="E71" i="7" s="1"/>
  <c r="D79" i="7"/>
  <c r="E79" i="7" s="1"/>
  <c r="D87" i="7"/>
  <c r="E87" i="7" s="1"/>
</calcChain>
</file>

<file path=xl/comments1.xml><?xml version="1.0" encoding="utf-8"?>
<comments xmlns="http://schemas.openxmlformats.org/spreadsheetml/2006/main">
  <authors>
    <author>Garrison, Todd M</author>
    <author>Cole, Adam A</author>
  </authors>
  <commentList>
    <comment ref="A12" authorId="0">
      <text>
        <r>
          <rPr>
            <sz val="9"/>
            <color indexed="81"/>
            <rFont val="Tahoma"/>
            <family val="2"/>
          </rPr>
          <t>BB 27" = 27" Box Beam
BB 33" = 33" Box Beam
BB 39" = 39" Box Beam
CS 18" 10" V = 18" Cored Slab with 10" voids
CS 21" 08" V = 21" Cored Slab with 8" voids
CS 21" 10" V = 21" Cored Slab with 10" voids
CS 21" 12" V = 21" Cored Slab with 12" voids
CS 24" 12" V = 24" Cored Slab with 12" voids
CS 26" 12" V = 26" Cored Slab with 12" voids
MBT 63" = 63" Modified Bulb Tee
MBT 72" = 72" Modified Bulb Tee
Type II = AASHTO Type II PCG (36")
Type III = AASHTO Type III PCG (45")
Type IV = AASHTO Type IV PCG (54")
Type V = AASHTO Type V PCG (63")
Type VI = AASHTO Type VI PCG (72")
Note: The 26" cored slab was included in the NCSU research, but is not recommended for use.</t>
        </r>
      </text>
    </comment>
    <comment ref="F12" authorId="0">
      <text>
        <r>
          <rPr>
            <sz val="9"/>
            <color indexed="81"/>
            <rFont val="Tahoma"/>
            <family val="2"/>
          </rPr>
          <t xml:space="preserve">The properties listed here were determined by the NCSU researchers for the selected girder type; some of these properties vary slightly from those listed in the Design Manual and used in the NCBDS prestressed girder design program.
</t>
        </r>
      </text>
    </comment>
    <comment ref="A13" authorId="0">
      <text>
        <r>
          <rPr>
            <sz val="9"/>
            <color indexed="81"/>
            <rFont val="Tahoma"/>
            <family val="2"/>
          </rPr>
          <t xml:space="preserve">girder length from end-to-end (not from bearing-to-bearing)
</t>
        </r>
      </text>
    </comment>
    <comment ref="F13" authorId="0">
      <text>
        <r>
          <rPr>
            <sz val="9"/>
            <color indexed="81"/>
            <rFont val="Tahoma"/>
            <family val="2"/>
          </rPr>
          <t>cross-sectional area of the gross girder section</t>
        </r>
      </text>
    </comment>
    <comment ref="F14" authorId="0">
      <text>
        <r>
          <rPr>
            <sz val="9"/>
            <color indexed="81"/>
            <rFont val="Tahoma"/>
            <family val="2"/>
          </rPr>
          <t>moment of inertia of the gross girder section</t>
        </r>
      </text>
    </comment>
    <comment ref="F15" authorId="0">
      <text>
        <r>
          <rPr>
            <sz val="9"/>
            <color indexed="81"/>
            <rFont val="Tahoma"/>
            <family val="2"/>
          </rPr>
          <t xml:space="preserve">distance from the centroid of the gross girder section to the extreme bottom fibers of the girder
</t>
        </r>
      </text>
    </comment>
    <comment ref="A16" authorId="0">
      <text>
        <r>
          <rPr>
            <sz val="9"/>
            <color indexed="81"/>
            <rFont val="Tahoma"/>
            <family val="2"/>
          </rPr>
          <t xml:space="preserve">0.5" or 0.6"
</t>
        </r>
      </text>
    </comment>
    <comment ref="F16" authorId="0">
      <text>
        <r>
          <rPr>
            <sz val="9"/>
            <color indexed="81"/>
            <rFont val="Tahoma"/>
            <family val="2"/>
          </rPr>
          <t xml:space="preserve">distributed load due to girder self-weight
</t>
        </r>
      </text>
    </comment>
    <comment ref="A17" authorId="1">
      <text>
        <r>
          <rPr>
            <sz val="9"/>
            <color indexed="81"/>
            <rFont val="Tahoma"/>
            <family val="2"/>
          </rPr>
          <t xml:space="preserve">See Figure 5.4.2.3.3-1 Annual Average Ambient Relative Humidity in Percent (AASHTO LRFD Bridge Design Specifications)
This value should be either 70 or 75 for NC bridges. 
</t>
        </r>
      </text>
    </comment>
    <comment ref="F17" authorId="0">
      <text>
        <r>
          <rPr>
            <sz val="9"/>
            <color indexed="81"/>
            <rFont val="Tahoma"/>
            <family val="2"/>
          </rPr>
          <t>volume-to-surface area ratio of the gross girder section; for girders with internal voids, half of the internal surface area is included</t>
        </r>
      </text>
    </comment>
    <comment ref="A19" authorId="0">
      <text>
        <r>
          <rPr>
            <sz val="9"/>
            <color indexed="81"/>
            <rFont val="Tahoma"/>
            <family val="2"/>
          </rPr>
          <t>For cored slabs and box beams only; the weight of diaphragms for other girder types is included in the deflections due to superimposed dead load, not the camber of the girder alone in place</t>
        </r>
      </text>
    </comment>
    <comment ref="A52" authorId="0">
      <text>
        <r>
          <rPr>
            <sz val="9"/>
            <color indexed="81"/>
            <rFont val="Tahoma"/>
            <family val="2"/>
          </rPr>
          <t xml:space="preserve">Input the weighted average length of debonding:
For example)
Row 1 has 4 debonded strands for a length of 12' from the end
Row 2 has 2 debonded strands for a length of 8' from the end
Weighted Average Length = </t>
        </r>
        <r>
          <rPr>
            <u/>
            <sz val="9"/>
            <color indexed="81"/>
            <rFont val="Tahoma"/>
            <family val="2"/>
          </rPr>
          <t>(4 deb. strands on row 1)(12')(12"/1') + (2 deb. strands on row 2)(8')(12"/1')</t>
        </r>
        <r>
          <rPr>
            <sz val="9"/>
            <color indexed="81"/>
            <rFont val="Tahoma"/>
            <family val="2"/>
          </rPr>
          <t xml:space="preserve">
                                                                              (6 total deb. strands)
Weighted Average Length = 128"
</t>
        </r>
      </text>
    </comment>
  </commentList>
</comments>
</file>

<file path=xl/comments2.xml><?xml version="1.0" encoding="utf-8"?>
<comments xmlns="http://schemas.openxmlformats.org/spreadsheetml/2006/main">
  <authors>
    <author>Garrison, Todd M</author>
  </authors>
  <commentList>
    <comment ref="A38" authorId="0">
      <text>
        <r>
          <rPr>
            <sz val="9"/>
            <color indexed="81"/>
            <rFont val="Tahoma"/>
            <family val="2"/>
          </rPr>
          <t xml:space="preserve">Input the weighted average length of debonding:
For example)
Row 1 has 4 debonded strands for a length of 12' from the end
Row 2 has 2 debonded strands for a length of 8' from the end
Weighted Average Length = </t>
        </r>
        <r>
          <rPr>
            <u/>
            <sz val="9"/>
            <color indexed="81"/>
            <rFont val="Tahoma"/>
            <family val="2"/>
          </rPr>
          <t>(4 deb. strands on row 1)(12')(12"/1') + (2 deb. strands on row 2)(8')(12"/1')</t>
        </r>
        <r>
          <rPr>
            <sz val="9"/>
            <color indexed="81"/>
            <rFont val="Tahoma"/>
            <family val="2"/>
          </rPr>
          <t xml:space="preserve">
                                                                              (6 total deb. strands)
Weighted Average Length = 128"
</t>
        </r>
      </text>
    </comment>
  </commentList>
</comments>
</file>

<file path=xl/sharedStrings.xml><?xml version="1.0" encoding="utf-8"?>
<sst xmlns="http://schemas.openxmlformats.org/spreadsheetml/2006/main" count="549" uniqueCount="254">
  <si>
    <t>V/S (in)</t>
  </si>
  <si>
    <r>
      <t>A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(in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</si>
  <si>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I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(in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</t>
    </r>
  </si>
  <si>
    <r>
      <t>y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(in)</t>
    </r>
  </si>
  <si>
    <r>
      <t>w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(lb/ft)</t>
    </r>
  </si>
  <si>
    <t>Type III</t>
  </si>
  <si>
    <t>Type IV</t>
  </si>
  <si>
    <t>BB 33"</t>
  </si>
  <si>
    <t>Type II</t>
  </si>
  <si>
    <t>Type V</t>
  </si>
  <si>
    <t>Type VI</t>
  </si>
  <si>
    <r>
      <t>e</t>
    </r>
    <r>
      <rPr>
        <vertAlign val="subscript"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=</t>
    </r>
  </si>
  <si>
    <r>
      <t>y</t>
    </r>
    <r>
      <rPr>
        <vertAlign val="subscript"/>
        <sz val="11"/>
        <color theme="1"/>
        <rFont val="Calibri"/>
        <family val="2"/>
        <scheme val="minor"/>
      </rPr>
      <t>psm</t>
    </r>
    <r>
      <rPr>
        <sz val="11"/>
        <color theme="1"/>
        <rFont val="Calibri"/>
        <family val="2"/>
        <scheme val="minor"/>
      </rPr>
      <t xml:space="preserve"> = </t>
    </r>
  </si>
  <si>
    <t>(Total Number of Prestressing Strands at Midspan)</t>
  </si>
  <si>
    <t xml:space="preserve"> Release Concrete Strength (psi)</t>
  </si>
  <si>
    <t xml:space="preserve"> 28 Day Concrete Strength (psi)</t>
  </si>
  <si>
    <r>
      <t>y</t>
    </r>
    <r>
      <rPr>
        <vertAlign val="subscript"/>
        <sz val="11"/>
        <color theme="1"/>
        <rFont val="Calibri"/>
        <family val="2"/>
        <scheme val="minor"/>
      </rPr>
      <t>pse</t>
    </r>
    <r>
      <rPr>
        <sz val="11"/>
        <color theme="1"/>
        <rFont val="Calibri"/>
        <family val="2"/>
        <scheme val="minor"/>
      </rPr>
      <t xml:space="preserve"> =</t>
    </r>
  </si>
  <si>
    <t>Girder Type</t>
  </si>
  <si>
    <t>5)  Specified initial prestressing force before transfer:</t>
  </si>
  <si>
    <t>3)  Moment at midspan due to self-weight:</t>
  </si>
  <si>
    <t>psi</t>
  </si>
  <si>
    <t>1st Iteration</t>
  </si>
  <si>
    <t>2nd Iteration</t>
  </si>
  <si>
    <r>
      <t>Δ</t>
    </r>
    <r>
      <rPr>
        <vertAlign val="subscript"/>
        <sz val="11"/>
        <color theme="1"/>
        <rFont val="Calibri"/>
        <family val="2"/>
        <scheme val="minor"/>
      </rPr>
      <t>sw,i</t>
    </r>
    <r>
      <rPr>
        <sz val="11"/>
        <color theme="1"/>
        <rFont val="Calibri"/>
        <family val="2"/>
        <scheme val="minor"/>
      </rPr>
      <t xml:space="preserve"> =</t>
    </r>
  </si>
  <si>
    <t>Girder Section Properties</t>
  </si>
  <si>
    <t>a.  Factor to account for the effect of the volume-to-surface area ratio:</t>
  </si>
  <si>
    <t>b.  Humidity factor for creep:</t>
  </si>
  <si>
    <t>d.  Time development factor for 28 days due to loading applied at transfer:</t>
  </si>
  <si>
    <t>e.  Creep coefficient at 28 days due to loading applied at transfer:</t>
  </si>
  <si>
    <r>
      <t>Ψ(28,t</t>
    </r>
    <r>
      <rPr>
        <vertAlign val="subscript"/>
        <sz val="11"/>
        <color theme="1"/>
        <rFont val="Calibri"/>
        <family val="2"/>
      </rPr>
      <t>i</t>
    </r>
    <r>
      <rPr>
        <sz val="11"/>
        <color theme="1"/>
        <rFont val="Calibri"/>
        <family val="2"/>
      </rPr>
      <t>) =</t>
    </r>
  </si>
  <si>
    <t xml:space="preserve">f.  Time development factor for 1 year due to loading applied at transfer:  </t>
  </si>
  <si>
    <t xml:space="preserve">g.   Creep coefficient at 1 year (365 days) due to loading applied at transfer:  </t>
  </si>
  <si>
    <r>
      <t>Ψ(365,t</t>
    </r>
    <r>
      <rPr>
        <vertAlign val="subscript"/>
        <sz val="11"/>
        <color theme="1"/>
        <rFont val="Calibri"/>
        <family val="2"/>
      </rPr>
      <t>i</t>
    </r>
    <r>
      <rPr>
        <sz val="11"/>
        <color theme="1"/>
        <rFont val="Calibri"/>
        <family val="2"/>
      </rPr>
      <t>) =</t>
    </r>
  </si>
  <si>
    <t>h.  Time development factor for final time (5 years) due to loading applied at transfer:</t>
  </si>
  <si>
    <t xml:space="preserve">i.  Creep coefficient at final time (5 years) due to loading applied at transfer:  </t>
  </si>
  <si>
    <r>
      <t>Ψ(t</t>
    </r>
    <r>
      <rPr>
        <vertAlign val="subscript"/>
        <sz val="11"/>
        <color theme="1"/>
        <rFont val="Calibri"/>
        <family val="2"/>
      </rPr>
      <t>f</t>
    </r>
    <r>
      <rPr>
        <sz val="11"/>
        <color theme="1"/>
        <rFont val="Calibri"/>
        <family val="2"/>
      </rPr>
      <t>,t</t>
    </r>
    <r>
      <rPr>
        <vertAlign val="subscript"/>
        <sz val="11"/>
        <color theme="1"/>
        <rFont val="Calibri"/>
        <family val="2"/>
      </rPr>
      <t>i</t>
    </r>
    <r>
      <rPr>
        <sz val="11"/>
        <color theme="1"/>
        <rFont val="Calibri"/>
        <family val="2"/>
      </rPr>
      <t>) =</t>
    </r>
  </si>
  <si>
    <t>Ψ(365,28) =</t>
  </si>
  <si>
    <t xml:space="preserve">a.  Humidity factor for shrinkage:  </t>
  </si>
  <si>
    <t>b.  Shrinkage strain at 28 days:</t>
  </si>
  <si>
    <r>
      <t>ε</t>
    </r>
    <r>
      <rPr>
        <vertAlign val="subscript"/>
        <sz val="11"/>
        <color theme="1"/>
        <rFont val="Calibri"/>
        <family val="2"/>
      </rPr>
      <t>bid</t>
    </r>
    <r>
      <rPr>
        <sz val="11"/>
        <color theme="1"/>
        <rFont val="Calibri"/>
        <family val="2"/>
      </rPr>
      <t xml:space="preserve"> =</t>
    </r>
  </si>
  <si>
    <t>c.  Shrinkage strain at 1 year (365 days):</t>
  </si>
  <si>
    <r>
      <t>K</t>
    </r>
    <r>
      <rPr>
        <vertAlign val="subscript"/>
        <sz val="11"/>
        <color theme="1"/>
        <rFont val="Calibri"/>
        <family val="2"/>
      </rPr>
      <t>id</t>
    </r>
    <r>
      <rPr>
        <sz val="11"/>
        <color theme="1"/>
        <rFont val="Calibri"/>
        <family val="2"/>
      </rPr>
      <t xml:space="preserve"> =</t>
    </r>
  </si>
  <si>
    <r>
      <t>Δf</t>
    </r>
    <r>
      <rPr>
        <vertAlign val="subscript"/>
        <sz val="11"/>
        <color theme="1"/>
        <rFont val="Calibri"/>
        <family val="2"/>
      </rPr>
      <t>pSR,28</t>
    </r>
    <r>
      <rPr>
        <sz val="11"/>
        <color theme="1"/>
        <rFont val="Calibri"/>
        <family val="2"/>
      </rPr>
      <t xml:space="preserve"> =</t>
    </r>
  </si>
  <si>
    <r>
      <t>Δf</t>
    </r>
    <r>
      <rPr>
        <vertAlign val="subscript"/>
        <sz val="11"/>
        <color theme="1"/>
        <rFont val="Calibri"/>
        <family val="2"/>
      </rPr>
      <t>pCR,28</t>
    </r>
    <r>
      <rPr>
        <sz val="11"/>
        <color theme="1"/>
        <rFont val="Calibri"/>
        <family val="2"/>
      </rPr>
      <t xml:space="preserve"> =</t>
    </r>
  </si>
  <si>
    <r>
      <t>Δf</t>
    </r>
    <r>
      <rPr>
        <vertAlign val="subscript"/>
        <sz val="11"/>
        <color theme="1"/>
        <rFont val="Calibri"/>
        <family val="2"/>
      </rPr>
      <t>pRE,28</t>
    </r>
    <r>
      <rPr>
        <sz val="11"/>
        <color theme="1"/>
        <rFont val="Calibri"/>
        <family val="2"/>
      </rPr>
      <t xml:space="preserve"> =</t>
    </r>
  </si>
  <si>
    <t>Final</t>
  </si>
  <si>
    <t>6) Prestress loss due to elastic shortening at transfer:</t>
  </si>
  <si>
    <t>7) Creep coefficients:</t>
  </si>
  <si>
    <t>8)  Shrinkage strains:</t>
  </si>
  <si>
    <t>10)  Prestress loss at 28 days due to concrete shrinkage:</t>
  </si>
  <si>
    <t>11)  Prestress loss at 28 days due to creep:</t>
  </si>
  <si>
    <t>12)  Prestress loss at 28 days due to relaxation of prestressing strands:</t>
  </si>
  <si>
    <t>13) Prestress loss at 1 year (365 days) due to concrete shrinkage:</t>
  </si>
  <si>
    <r>
      <t>Δf</t>
    </r>
    <r>
      <rPr>
        <vertAlign val="subscript"/>
        <sz val="11"/>
        <color theme="1"/>
        <rFont val="Calibri"/>
        <family val="2"/>
      </rPr>
      <t>pSR,365</t>
    </r>
    <r>
      <rPr>
        <sz val="11"/>
        <color theme="1"/>
        <rFont val="Calibri"/>
        <family val="2"/>
      </rPr>
      <t xml:space="preserve"> =</t>
    </r>
  </si>
  <si>
    <t xml:space="preserve">14)  Prestress loss at 1 year (365 days) due to creep: </t>
  </si>
  <si>
    <r>
      <t>Δf</t>
    </r>
    <r>
      <rPr>
        <vertAlign val="subscript"/>
        <sz val="11"/>
        <color theme="1"/>
        <rFont val="Calibri"/>
        <family val="2"/>
      </rPr>
      <t>pCR,365</t>
    </r>
    <r>
      <rPr>
        <sz val="11"/>
        <color theme="1"/>
        <rFont val="Calibri"/>
        <family val="2"/>
      </rPr>
      <t xml:space="preserve"> =</t>
    </r>
  </si>
  <si>
    <t>15)  Prestress loss at 1 year (365 days) due to relaxation of prestressing strands:</t>
  </si>
  <si>
    <r>
      <t>Δf</t>
    </r>
    <r>
      <rPr>
        <vertAlign val="subscript"/>
        <sz val="11"/>
        <color theme="1"/>
        <rFont val="Calibri"/>
        <family val="2"/>
      </rPr>
      <t>pRE,365</t>
    </r>
    <r>
      <rPr>
        <sz val="11"/>
        <color theme="1"/>
        <rFont val="Calibri"/>
        <family val="2"/>
      </rPr>
      <t xml:space="preserve"> =</t>
    </r>
  </si>
  <si>
    <t>16)  Prestress force at 28 days:</t>
  </si>
  <si>
    <t>17)  Prestress froce at 365 days:</t>
  </si>
  <si>
    <t xml:space="preserve">18)  Camber at prestress transfer:  </t>
  </si>
  <si>
    <t>a.  Camber due to prestressing only:</t>
  </si>
  <si>
    <r>
      <t>Δ</t>
    </r>
    <r>
      <rPr>
        <vertAlign val="subscript"/>
        <sz val="11"/>
        <color theme="1"/>
        <rFont val="Calibri"/>
        <family val="2"/>
        <scheme val="minor"/>
      </rPr>
      <t>ps,i</t>
    </r>
    <r>
      <rPr>
        <sz val="11"/>
        <color theme="1"/>
        <rFont val="Calibri"/>
        <family val="2"/>
        <scheme val="minor"/>
      </rPr>
      <t xml:space="preserve"> =</t>
    </r>
  </si>
  <si>
    <t>b.  Deflection due to self-weight:</t>
  </si>
  <si>
    <t xml:space="preserve">c.  Net camber at prestress transfer: </t>
  </si>
  <si>
    <t>19)  Camber at 28 days:</t>
  </si>
  <si>
    <r>
      <t>Δ</t>
    </r>
    <r>
      <rPr>
        <vertAlign val="subscript"/>
        <sz val="11"/>
        <color theme="1"/>
        <rFont val="Calibri"/>
        <family val="2"/>
        <scheme val="minor"/>
      </rPr>
      <t>ps,28</t>
    </r>
    <r>
      <rPr>
        <sz val="11"/>
        <color theme="1"/>
        <rFont val="Calibri"/>
        <family val="2"/>
        <scheme val="minor"/>
      </rPr>
      <t xml:space="preserve"> =</t>
    </r>
  </si>
  <si>
    <t xml:space="preserve">b.  Deflection due to self-weight:  </t>
  </si>
  <si>
    <t xml:space="preserve">c.  Deflection due to creep:  </t>
  </si>
  <si>
    <r>
      <t>Δ</t>
    </r>
    <r>
      <rPr>
        <vertAlign val="subscript"/>
        <sz val="11"/>
        <color theme="1"/>
        <rFont val="Calibri"/>
        <family val="2"/>
        <scheme val="minor"/>
      </rPr>
      <t>cr,28</t>
    </r>
    <r>
      <rPr>
        <sz val="11"/>
        <color theme="1"/>
        <rFont val="Calibri"/>
        <family val="2"/>
        <scheme val="minor"/>
      </rPr>
      <t xml:space="preserve"> =</t>
    </r>
  </si>
  <si>
    <t>d.  Net camber at 28 days:</t>
  </si>
  <si>
    <t>20)  Camber at 1 year (365 days):</t>
  </si>
  <si>
    <t xml:space="preserve">a.  Camber due to prestressing only: </t>
  </si>
  <si>
    <r>
      <t>Δ</t>
    </r>
    <r>
      <rPr>
        <vertAlign val="subscript"/>
        <sz val="11"/>
        <color theme="1"/>
        <rFont val="Calibri"/>
        <family val="2"/>
        <scheme val="minor"/>
      </rPr>
      <t>ps,365</t>
    </r>
    <r>
      <rPr>
        <sz val="11"/>
        <color theme="1"/>
        <rFont val="Calibri"/>
        <family val="2"/>
        <scheme val="minor"/>
      </rPr>
      <t xml:space="preserve"> =</t>
    </r>
  </si>
  <si>
    <t>b.  Defelction due to self-weight:</t>
  </si>
  <si>
    <t>c.  Deflection due ot creep:</t>
  </si>
  <si>
    <r>
      <t>Δ</t>
    </r>
    <r>
      <rPr>
        <vertAlign val="subscript"/>
        <sz val="11"/>
        <color theme="1"/>
        <rFont val="Calibri"/>
        <family val="2"/>
        <scheme val="minor"/>
      </rPr>
      <t>cr,365</t>
    </r>
    <r>
      <rPr>
        <sz val="11"/>
        <color theme="1"/>
        <rFont val="Calibri"/>
        <family val="2"/>
        <scheme val="minor"/>
      </rPr>
      <t xml:space="preserve"> =</t>
    </r>
  </si>
  <si>
    <t>d.  Net camber at 365 days:</t>
  </si>
  <si>
    <r>
      <t>Δ</t>
    </r>
    <r>
      <rPr>
        <vertAlign val="subscript"/>
        <sz val="11"/>
        <color theme="1"/>
        <rFont val="Calibri"/>
        <family val="2"/>
      </rPr>
      <t>i</t>
    </r>
    <r>
      <rPr>
        <sz val="11"/>
        <color theme="1"/>
        <rFont val="Calibri"/>
        <family val="2"/>
      </rPr>
      <t xml:space="preserve"> =</t>
    </r>
  </si>
  <si>
    <r>
      <t>Δ</t>
    </r>
    <r>
      <rPr>
        <vertAlign val="subscript"/>
        <sz val="11"/>
        <color theme="1"/>
        <rFont val="Calibri"/>
        <family val="2"/>
      </rPr>
      <t>28</t>
    </r>
    <r>
      <rPr>
        <sz val="11"/>
        <color theme="1"/>
        <rFont val="Calibri"/>
        <family val="2"/>
      </rPr>
      <t xml:space="preserve"> =</t>
    </r>
  </si>
  <si>
    <r>
      <t>Δ</t>
    </r>
    <r>
      <rPr>
        <vertAlign val="subscript"/>
        <sz val="11"/>
        <color theme="1"/>
        <rFont val="Calibri"/>
        <family val="2"/>
      </rPr>
      <t>365</t>
    </r>
    <r>
      <rPr>
        <sz val="11"/>
        <color theme="1"/>
        <rFont val="Calibri"/>
        <family val="2"/>
      </rPr>
      <t xml:space="preserve"> =</t>
    </r>
  </si>
  <si>
    <t>Draped Strands?</t>
  </si>
  <si>
    <t>No</t>
  </si>
  <si>
    <t>Annual Average Ambient Relative Humidity Percentage</t>
  </si>
  <si>
    <t>Diaphragm Weight (lb/ft)</t>
  </si>
  <si>
    <t>** Input values into the yellow shaded cells **</t>
  </si>
  <si>
    <t>Prestressing Strands</t>
  </si>
  <si>
    <t>at End of Girder</t>
  </si>
  <si>
    <t>Row</t>
  </si>
  <si>
    <t>Strands</t>
  </si>
  <si>
    <t>(see note 1)</t>
  </si>
  <si>
    <t>(see note 2)</t>
  </si>
  <si>
    <t>Strand</t>
  </si>
  <si>
    <t>Height (in)</t>
  </si>
  <si>
    <t>(see note 3)</t>
  </si>
  <si>
    <t>Number of</t>
  </si>
  <si>
    <t>Number</t>
  </si>
  <si>
    <t>Predicted Camber for Prestressed Concrete Girders</t>
  </si>
  <si>
    <t>(Refined Method)</t>
  </si>
  <si>
    <r>
      <t>f</t>
    </r>
    <r>
      <rPr>
        <vertAlign val="superscript"/>
        <sz val="11"/>
        <color theme="1"/>
        <rFont val="Calibri"/>
        <family val="2"/>
        <scheme val="minor"/>
      </rPr>
      <t>'</t>
    </r>
    <r>
      <rPr>
        <vertAlign val="subscript"/>
        <sz val="11"/>
        <color theme="1"/>
        <rFont val="Calibri"/>
        <family val="2"/>
        <scheme val="minor"/>
      </rPr>
      <t xml:space="preserve">ci </t>
    </r>
    <r>
      <rPr>
        <sz val="11"/>
        <color theme="1"/>
        <rFont val="Calibri"/>
        <family val="2"/>
        <scheme val="minor"/>
      </rPr>
      <t>=</t>
    </r>
  </si>
  <si>
    <r>
      <t>f</t>
    </r>
    <r>
      <rPr>
        <vertAlign val="superscript"/>
        <sz val="11"/>
        <color theme="1"/>
        <rFont val="Calibri"/>
        <family val="2"/>
        <scheme val="minor"/>
      </rPr>
      <t>*</t>
    </r>
    <r>
      <rPr>
        <vertAlign val="subscript"/>
        <sz val="11"/>
        <color theme="1"/>
        <rFont val="Calibri"/>
        <family val="2"/>
        <scheme val="minor"/>
      </rPr>
      <t xml:space="preserve">ci </t>
    </r>
    <r>
      <rPr>
        <sz val="11"/>
        <color theme="1"/>
        <rFont val="Calibri"/>
        <family val="2"/>
        <scheme val="minor"/>
      </rPr>
      <t>=</t>
    </r>
  </si>
  <si>
    <r>
      <t>f</t>
    </r>
    <r>
      <rPr>
        <vertAlign val="superscript"/>
        <sz val="11"/>
        <color theme="1"/>
        <rFont val="Calibri"/>
        <family val="2"/>
        <scheme val="minor"/>
      </rPr>
      <t>'</t>
    </r>
    <r>
      <rPr>
        <vertAlign val="subscript"/>
        <sz val="11"/>
        <color theme="1"/>
        <rFont val="Calibri"/>
        <family val="2"/>
        <scheme val="minor"/>
      </rPr>
      <t xml:space="preserve">c </t>
    </r>
    <r>
      <rPr>
        <sz val="11"/>
        <color theme="1"/>
        <rFont val="Calibri"/>
        <family val="2"/>
        <scheme val="minor"/>
      </rPr>
      <t>=</t>
    </r>
  </si>
  <si>
    <r>
      <t>f</t>
    </r>
    <r>
      <rPr>
        <vertAlign val="superscript"/>
        <sz val="11"/>
        <color theme="1"/>
        <rFont val="Calibri"/>
        <family val="2"/>
        <scheme val="minor"/>
      </rPr>
      <t>*</t>
    </r>
    <r>
      <rPr>
        <vertAlign val="subscript"/>
        <sz val="11"/>
        <color theme="1"/>
        <rFont val="Calibri"/>
        <family val="2"/>
        <scheme val="minor"/>
      </rPr>
      <t xml:space="preserve">c </t>
    </r>
    <r>
      <rPr>
        <sz val="11"/>
        <color theme="1"/>
        <rFont val="Calibri"/>
        <family val="2"/>
        <scheme val="minor"/>
      </rPr>
      <t>=</t>
    </r>
  </si>
  <si>
    <r>
      <t>E</t>
    </r>
    <r>
      <rPr>
        <vertAlign val="subscript"/>
        <sz val="11"/>
        <color theme="1"/>
        <rFont val="Calibri"/>
        <family val="2"/>
        <scheme val="minor"/>
      </rPr>
      <t>ci</t>
    </r>
    <r>
      <rPr>
        <sz val="11"/>
        <color theme="1"/>
        <rFont val="Calibri"/>
        <family val="2"/>
        <scheme val="minor"/>
      </rPr>
      <t xml:space="preserve"> =</t>
    </r>
  </si>
  <si>
    <r>
      <t>E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=</t>
    </r>
  </si>
  <si>
    <r>
      <t>L</t>
    </r>
    <r>
      <rPr>
        <vertAlign val="subscript"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=</t>
    </r>
  </si>
  <si>
    <r>
      <t>M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=</t>
    </r>
  </si>
  <si>
    <r>
      <t>4)  Essentricity of the prestressing strands at midspan (e</t>
    </r>
    <r>
      <rPr>
        <vertAlign val="subscript"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) and at the end of the girder (e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):</t>
    </r>
  </si>
  <si>
    <r>
      <t>Strands</t>
    </r>
    <r>
      <rPr>
        <vertAlign val="subscript"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=</t>
    </r>
  </si>
  <si>
    <r>
      <t>Strands</t>
    </r>
    <r>
      <rPr>
        <vertAlign val="subscript"/>
        <sz val="11"/>
        <color theme="1"/>
        <rFont val="Calibri"/>
        <family val="2"/>
        <scheme val="minor"/>
      </rPr>
      <t xml:space="preserve">e </t>
    </r>
    <r>
      <rPr>
        <sz val="11"/>
        <color theme="1"/>
        <rFont val="Calibri"/>
        <family val="2"/>
        <scheme val="minor"/>
      </rPr>
      <t>=</t>
    </r>
  </si>
  <si>
    <r>
      <t>e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= </t>
    </r>
  </si>
  <si>
    <r>
      <t>A</t>
    </r>
    <r>
      <rPr>
        <vertAlign val="subscript"/>
        <sz val="11"/>
        <color theme="1"/>
        <rFont val="Calibri"/>
        <family val="2"/>
        <scheme val="minor"/>
      </rPr>
      <t>ps</t>
    </r>
    <r>
      <rPr>
        <sz val="11"/>
        <color theme="1"/>
        <rFont val="Calibri"/>
        <family val="2"/>
        <scheme val="minor"/>
      </rPr>
      <t xml:space="preserve"> =</t>
    </r>
  </si>
  <si>
    <r>
      <t>f</t>
    </r>
    <r>
      <rPr>
        <vertAlign val="subscript"/>
        <sz val="11"/>
        <color theme="1"/>
        <rFont val="Calibri"/>
        <family val="2"/>
        <scheme val="minor"/>
      </rPr>
      <t>pu</t>
    </r>
    <r>
      <rPr>
        <sz val="11"/>
        <color theme="1"/>
        <rFont val="Calibri"/>
        <family val="2"/>
        <scheme val="minor"/>
      </rPr>
      <t xml:space="preserve"> =</t>
    </r>
  </si>
  <si>
    <r>
      <t>P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=</t>
    </r>
  </si>
  <si>
    <r>
      <t>P</t>
    </r>
    <r>
      <rPr>
        <vertAlign val="subscript"/>
        <sz val="11"/>
        <color theme="1"/>
        <rFont val="Calibri"/>
        <family val="2"/>
        <scheme val="minor"/>
      </rPr>
      <t>i(guess)</t>
    </r>
    <r>
      <rPr>
        <sz val="11"/>
        <color theme="1"/>
        <rFont val="Calibri"/>
        <family val="2"/>
        <scheme val="minor"/>
      </rPr>
      <t xml:space="preserve"> =</t>
    </r>
  </si>
  <si>
    <r>
      <t>P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=</t>
    </r>
  </si>
  <si>
    <r>
      <t>f</t>
    </r>
    <r>
      <rPr>
        <vertAlign val="subscript"/>
        <sz val="11"/>
        <color theme="1"/>
        <rFont val="Calibri"/>
        <family val="2"/>
        <scheme val="minor"/>
      </rPr>
      <t>cgp</t>
    </r>
    <r>
      <rPr>
        <sz val="11"/>
        <color theme="1"/>
        <rFont val="Calibri"/>
        <family val="2"/>
        <scheme val="minor"/>
      </rPr>
      <t xml:space="preserve"> =</t>
    </r>
  </si>
  <si>
    <r>
      <t>f</t>
    </r>
    <r>
      <rPr>
        <vertAlign val="subscript"/>
        <sz val="11"/>
        <color theme="1"/>
        <rFont val="Calibri"/>
        <family val="2"/>
        <scheme val="minor"/>
      </rPr>
      <t>pi</t>
    </r>
    <r>
      <rPr>
        <sz val="11"/>
        <color theme="1"/>
        <rFont val="Calibri"/>
        <family val="2"/>
        <scheme val="minor"/>
      </rPr>
      <t xml:space="preserve"> =</t>
    </r>
  </si>
  <si>
    <r>
      <t>Δf</t>
    </r>
    <r>
      <rPr>
        <vertAlign val="subscript"/>
        <sz val="11"/>
        <color theme="1"/>
        <rFont val="Calibri"/>
        <family val="2"/>
      </rPr>
      <t>pES</t>
    </r>
    <r>
      <rPr>
        <sz val="11"/>
        <color theme="1"/>
        <rFont val="Calibri"/>
        <family val="2"/>
      </rPr>
      <t xml:space="preserve"> =</t>
    </r>
  </si>
  <si>
    <r>
      <t>k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=</t>
    </r>
  </si>
  <si>
    <r>
      <t>k</t>
    </r>
    <r>
      <rPr>
        <vertAlign val="subscript"/>
        <sz val="11"/>
        <color theme="1"/>
        <rFont val="Calibri"/>
        <family val="2"/>
        <scheme val="minor"/>
      </rPr>
      <t>hc</t>
    </r>
    <r>
      <rPr>
        <sz val="11"/>
        <color theme="1"/>
        <rFont val="Calibri"/>
        <family val="2"/>
        <scheme val="minor"/>
      </rPr>
      <t xml:space="preserve"> =</t>
    </r>
  </si>
  <si>
    <r>
      <t>k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=</t>
    </r>
  </si>
  <si>
    <r>
      <t>k</t>
    </r>
    <r>
      <rPr>
        <vertAlign val="subscript"/>
        <sz val="11"/>
        <color theme="1"/>
        <rFont val="Calibri"/>
        <family val="2"/>
        <scheme val="minor"/>
      </rPr>
      <t>td</t>
    </r>
    <r>
      <rPr>
        <sz val="11"/>
        <color theme="1"/>
        <rFont val="Calibri"/>
        <family val="2"/>
        <scheme val="minor"/>
      </rPr>
      <t xml:space="preserve"> =</t>
    </r>
  </si>
  <si>
    <r>
      <t>k</t>
    </r>
    <r>
      <rPr>
        <vertAlign val="subscript"/>
        <sz val="11"/>
        <color theme="1"/>
        <rFont val="Calibri"/>
        <family val="2"/>
        <scheme val="minor"/>
      </rPr>
      <t>hs</t>
    </r>
    <r>
      <rPr>
        <sz val="11"/>
        <color theme="1"/>
        <rFont val="Calibri"/>
        <family val="2"/>
        <scheme val="minor"/>
      </rPr>
      <t xml:space="preserve"> =</t>
    </r>
  </si>
  <si>
    <r>
      <t>P</t>
    </r>
    <r>
      <rPr>
        <vertAlign val="subscript"/>
        <sz val="11"/>
        <color theme="1"/>
        <rFont val="Calibri"/>
        <family val="2"/>
        <scheme val="minor"/>
      </rPr>
      <t>28</t>
    </r>
    <r>
      <rPr>
        <sz val="11"/>
        <color theme="1"/>
        <rFont val="Calibri"/>
        <family val="2"/>
        <scheme val="minor"/>
      </rPr>
      <t xml:space="preserve"> =</t>
    </r>
  </si>
  <si>
    <r>
      <t>P</t>
    </r>
    <r>
      <rPr>
        <vertAlign val="subscript"/>
        <sz val="11"/>
        <color theme="1"/>
        <rFont val="Calibri"/>
        <family val="2"/>
        <scheme val="minor"/>
      </rPr>
      <t>365</t>
    </r>
    <r>
      <rPr>
        <sz val="11"/>
        <color theme="1"/>
        <rFont val="Calibri"/>
        <family val="2"/>
        <scheme val="minor"/>
      </rPr>
      <t xml:space="preserve"> =</t>
    </r>
  </si>
  <si>
    <r>
      <t>Δ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=</t>
    </r>
  </si>
  <si>
    <r>
      <t>Δ</t>
    </r>
    <r>
      <rPr>
        <vertAlign val="subscript"/>
        <sz val="11"/>
        <color theme="1"/>
        <rFont val="Calibri"/>
        <family val="2"/>
        <scheme val="minor"/>
      </rPr>
      <t>sw,28</t>
    </r>
    <r>
      <rPr>
        <sz val="11"/>
        <color theme="1"/>
        <rFont val="Calibri"/>
        <family val="2"/>
        <scheme val="minor"/>
      </rPr>
      <t xml:space="preserve"> =</t>
    </r>
  </si>
  <si>
    <r>
      <t>Δ</t>
    </r>
    <r>
      <rPr>
        <vertAlign val="subscript"/>
        <sz val="11"/>
        <color theme="1"/>
        <rFont val="Calibri"/>
        <family val="2"/>
        <scheme val="minor"/>
      </rPr>
      <t>28</t>
    </r>
    <r>
      <rPr>
        <sz val="11"/>
        <color theme="1"/>
        <rFont val="Calibri"/>
        <family val="2"/>
        <scheme val="minor"/>
      </rPr>
      <t xml:space="preserve"> =</t>
    </r>
  </si>
  <si>
    <r>
      <t>Δ</t>
    </r>
    <r>
      <rPr>
        <vertAlign val="subscript"/>
        <sz val="11"/>
        <color theme="1"/>
        <rFont val="Calibri"/>
        <family val="2"/>
        <scheme val="minor"/>
      </rPr>
      <t>sw,365</t>
    </r>
    <r>
      <rPr>
        <sz val="11"/>
        <color theme="1"/>
        <rFont val="Calibri"/>
        <family val="2"/>
        <scheme val="minor"/>
      </rPr>
      <t xml:space="preserve"> =</t>
    </r>
  </si>
  <si>
    <r>
      <t>Δ</t>
    </r>
    <r>
      <rPr>
        <vertAlign val="subscript"/>
        <sz val="11"/>
        <color theme="1"/>
        <rFont val="Calibri"/>
        <family val="2"/>
        <scheme val="minor"/>
      </rPr>
      <t>365</t>
    </r>
    <r>
      <rPr>
        <sz val="11"/>
        <color theme="1"/>
        <rFont val="Calibri"/>
        <family val="2"/>
        <scheme val="minor"/>
      </rPr>
      <t xml:space="preserve"> =</t>
    </r>
  </si>
  <si>
    <t>at Midspan of Girder</t>
  </si>
  <si>
    <t>(Total Number of Fully Bonded Prestressing Strands at End)</t>
  </si>
  <si>
    <t>lb</t>
  </si>
  <si>
    <t>in</t>
  </si>
  <si>
    <t>ft (Length of Girder)</t>
  </si>
  <si>
    <t>lb-in</t>
  </si>
  <si>
    <t xml:space="preserve"> Length of Girder (ft)</t>
  </si>
  <si>
    <t>Strand Diameter (inches)</t>
  </si>
  <si>
    <t>Average length of debonding at each end of girder (inches)</t>
  </si>
  <si>
    <t>inches</t>
  </si>
  <si>
    <r>
      <t>2)  Elastic modulus of the concrete at prestress transfer (E</t>
    </r>
    <r>
      <rPr>
        <vertAlign val="subscript"/>
        <sz val="11"/>
        <color theme="1"/>
        <rFont val="Calibri"/>
        <family val="2"/>
        <scheme val="minor"/>
      </rPr>
      <t>ci</t>
    </r>
    <r>
      <rPr>
        <sz val="11"/>
        <color theme="1"/>
        <rFont val="Calibri"/>
        <family val="2"/>
        <scheme val="minor"/>
      </rPr>
      <t>) and at 28 days (E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):</t>
    </r>
  </si>
  <si>
    <r>
      <t>w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=</t>
    </r>
  </si>
  <si>
    <t>lb/ft (weight of girder)</t>
  </si>
  <si>
    <r>
      <t>w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=</t>
    </r>
  </si>
  <si>
    <t>lb/ft (weight of diaphragm)</t>
  </si>
  <si>
    <t>in (centroid of strands at midspan to bottom of girder)</t>
  </si>
  <si>
    <t>in (centroid of strands at midspan to centroid of girder)</t>
  </si>
  <si>
    <t>in (centroid of strands at end to bottom of girder)</t>
  </si>
  <si>
    <t>in (centroid of strands at end to centroid of girder)</t>
  </si>
  <si>
    <r>
      <t>A</t>
    </r>
    <r>
      <rPr>
        <vertAlign val="subscript"/>
        <sz val="11"/>
        <color theme="1"/>
        <rFont val="Calibri"/>
        <family val="2"/>
        <scheme val="minor"/>
      </rPr>
      <t>s,each</t>
    </r>
    <r>
      <rPr>
        <sz val="11"/>
        <color theme="1"/>
        <rFont val="Calibri"/>
        <family val="2"/>
        <scheme val="minor"/>
      </rPr>
      <t xml:space="preserve"> =</t>
    </r>
  </si>
  <si>
    <r>
      <t>in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(area of each prestressing strand)</t>
    </r>
  </si>
  <si>
    <r>
      <t>in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(Total area of strands)</t>
    </r>
  </si>
  <si>
    <t>psi (Ultimate Strength of Prestressing Strand)</t>
  </si>
  <si>
    <r>
      <t>E</t>
    </r>
    <r>
      <rPr>
        <vertAlign val="subscript"/>
        <sz val="11"/>
        <color theme="1"/>
        <rFont val="Calibri"/>
        <family val="2"/>
        <scheme val="minor"/>
      </rPr>
      <t>ps</t>
    </r>
    <r>
      <rPr>
        <sz val="11"/>
        <color theme="1"/>
        <rFont val="Calibri"/>
        <family val="2"/>
        <scheme val="minor"/>
      </rPr>
      <t xml:space="preserve"> =</t>
    </r>
  </si>
  <si>
    <t>psi (elastic modulus of prestressed strand)</t>
  </si>
  <si>
    <t>c.  Factor for the effect of the concrete strength:</t>
  </si>
  <si>
    <r>
      <t>(using k</t>
    </r>
    <r>
      <rPr>
        <vertAlign val="subscript"/>
        <sz val="11"/>
        <color theme="1"/>
        <rFont val="Calibri"/>
        <family val="2"/>
        <scheme val="minor"/>
      </rPr>
      <t>td</t>
    </r>
    <r>
      <rPr>
        <sz val="11"/>
        <color theme="1"/>
        <rFont val="Calibri"/>
        <family val="2"/>
        <scheme val="minor"/>
      </rPr>
      <t xml:space="preserve"> for 28 days)</t>
    </r>
  </si>
  <si>
    <r>
      <t>(using k</t>
    </r>
    <r>
      <rPr>
        <vertAlign val="subscript"/>
        <sz val="11"/>
        <color theme="1"/>
        <rFont val="Calibri"/>
        <family val="2"/>
        <scheme val="minor"/>
      </rPr>
      <t>td</t>
    </r>
    <r>
      <rPr>
        <sz val="11"/>
        <color theme="1"/>
        <rFont val="Calibri"/>
        <family val="2"/>
        <scheme val="minor"/>
      </rPr>
      <t xml:space="preserve"> for 1 year)</t>
    </r>
  </si>
  <si>
    <r>
      <t>(using k</t>
    </r>
    <r>
      <rPr>
        <vertAlign val="subscript"/>
        <sz val="11"/>
        <color theme="1"/>
        <rFont val="Calibri"/>
        <family val="2"/>
        <scheme val="minor"/>
      </rPr>
      <t>td</t>
    </r>
    <r>
      <rPr>
        <sz val="11"/>
        <color theme="1"/>
        <rFont val="Calibri"/>
        <family val="2"/>
        <scheme val="minor"/>
      </rPr>
      <t xml:space="preserve"> for 5 years)</t>
    </r>
  </si>
  <si>
    <t xml:space="preserve">j.  Creep coefficient for period between 28 days and 1 year due to loading applied at transfer:  </t>
  </si>
  <si>
    <r>
      <t xml:space="preserve">psi (using </t>
    </r>
    <r>
      <rPr>
        <sz val="11"/>
        <color theme="1"/>
        <rFont val="Symbol"/>
        <family val="1"/>
        <charset val="2"/>
      </rPr>
      <t>e</t>
    </r>
    <r>
      <rPr>
        <vertAlign val="subscript"/>
        <sz val="11"/>
        <color theme="1"/>
        <rFont val="Calibri"/>
        <family val="2"/>
        <scheme val="minor"/>
      </rPr>
      <t>bid</t>
    </r>
    <r>
      <rPr>
        <sz val="11"/>
        <color theme="1"/>
        <rFont val="Calibri"/>
        <family val="2"/>
        <scheme val="minor"/>
      </rPr>
      <t xml:space="preserve"> for 28 days)</t>
    </r>
  </si>
  <si>
    <r>
      <t xml:space="preserve">psi (using </t>
    </r>
    <r>
      <rPr>
        <sz val="11"/>
        <color theme="1"/>
        <rFont val="Symbol"/>
        <family val="1"/>
        <charset val="2"/>
      </rPr>
      <t>e</t>
    </r>
    <r>
      <rPr>
        <vertAlign val="subscript"/>
        <sz val="11"/>
        <color theme="1"/>
        <rFont val="Calibri"/>
        <family val="2"/>
        <scheme val="minor"/>
      </rPr>
      <t>bid</t>
    </r>
    <r>
      <rPr>
        <sz val="11"/>
        <color theme="1"/>
        <rFont val="Calibri"/>
        <family val="2"/>
        <scheme val="minor"/>
      </rPr>
      <t xml:space="preserve"> for 1 year)</t>
    </r>
  </si>
  <si>
    <t>H =</t>
  </si>
  <si>
    <t>ft (midspan to hold down point; 5' for draped, 0' for straight)</t>
  </si>
  <si>
    <t>D =</t>
  </si>
  <si>
    <t>in (average length of debonding at end of girder)</t>
  </si>
  <si>
    <t>T =</t>
  </si>
  <si>
    <t>in (transfer length)</t>
  </si>
  <si>
    <r>
      <t>1)  Concrete compressive strength at transfer (f</t>
    </r>
    <r>
      <rPr>
        <vertAlign val="superscript"/>
        <sz val="11"/>
        <color theme="1"/>
        <rFont val="Calibri"/>
        <family val="2"/>
        <scheme val="minor"/>
      </rPr>
      <t>*</t>
    </r>
    <r>
      <rPr>
        <vertAlign val="subscript"/>
        <sz val="11"/>
        <color theme="1"/>
        <rFont val="Calibri"/>
        <family val="2"/>
        <scheme val="minor"/>
      </rPr>
      <t>ci</t>
    </r>
    <r>
      <rPr>
        <sz val="11"/>
        <color theme="1"/>
        <rFont val="Calibri"/>
        <family val="2"/>
        <scheme val="minor"/>
      </rPr>
      <t>) and at 28 days (f</t>
    </r>
    <r>
      <rPr>
        <vertAlign val="superscript"/>
        <sz val="11"/>
        <color theme="1"/>
        <rFont val="Calibri"/>
        <family val="2"/>
        <scheme val="minor"/>
      </rPr>
      <t>*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):</t>
    </r>
  </si>
  <si>
    <t>Project:</t>
  </si>
  <si>
    <t>County:</t>
  </si>
  <si>
    <t>Structure #:</t>
  </si>
  <si>
    <t>Station:</t>
  </si>
  <si>
    <t>(at midspan)</t>
  </si>
  <si>
    <t>(at end)</t>
  </si>
  <si>
    <t>9)  Transformed section coefficient that accounts for time-dependent interaction between concrete and bonded</t>
  </si>
  <si>
    <t xml:space="preserve">       steel in the section being considered for the time period between transfer and deck placement:  </t>
  </si>
  <si>
    <t>Predicted Camber for PCG's (Refined Method)</t>
  </si>
  <si>
    <t>Calculations - Page 1</t>
  </si>
  <si>
    <t>Calculations - Page 2</t>
  </si>
  <si>
    <t>Calculations - Page 3</t>
  </si>
  <si>
    <t>Calculations - Page 4</t>
  </si>
  <si>
    <t>Calculations - Page 5</t>
  </si>
  <si>
    <t>Yes</t>
  </si>
  <si>
    <t>Calculations - Page 6</t>
  </si>
  <si>
    <t>Span:</t>
  </si>
  <si>
    <t>Girder #:</t>
  </si>
  <si>
    <t>Design/Date:</t>
  </si>
  <si>
    <t>Check/Date:</t>
  </si>
  <si>
    <t>Box Beam</t>
  </si>
  <si>
    <t>27"</t>
  </si>
  <si>
    <t>Strand diameter</t>
  </si>
  <si>
    <t>Draped?</t>
  </si>
  <si>
    <t>33"</t>
  </si>
  <si>
    <t>39"</t>
  </si>
  <si>
    <t>Cored Slab</t>
  </si>
  <si>
    <t>(10" void)</t>
  </si>
  <si>
    <t>18"</t>
  </si>
  <si>
    <t>(8" void)</t>
  </si>
  <si>
    <t>21"</t>
  </si>
  <si>
    <t>(12" void)</t>
  </si>
  <si>
    <t>24"</t>
  </si>
  <si>
    <t>26"</t>
  </si>
  <si>
    <t>MBT</t>
  </si>
  <si>
    <t>63"</t>
  </si>
  <si>
    <t>72"</t>
  </si>
  <si>
    <t>AASHTO Type</t>
  </si>
  <si>
    <t>36"</t>
  </si>
  <si>
    <t>45"</t>
  </si>
  <si>
    <t>54"</t>
  </si>
  <si>
    <r>
      <t>L</t>
    </r>
    <r>
      <rPr>
        <vertAlign val="subscript"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 =</t>
    </r>
  </si>
  <si>
    <r>
      <t>L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=</t>
    </r>
  </si>
  <si>
    <r>
      <t>L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=</t>
    </r>
  </si>
  <si>
    <t>BB 27"</t>
  </si>
  <si>
    <t>BB 39"</t>
  </si>
  <si>
    <t>CS 18" 10" Void</t>
  </si>
  <si>
    <t>CS 21" 08" Void</t>
  </si>
  <si>
    <t>CS 21" 10" Void</t>
  </si>
  <si>
    <t>CS 21" 12" Void</t>
  </si>
  <si>
    <t>CS 24" 12" Void</t>
  </si>
  <si>
    <t>CS 26" 12" Void</t>
  </si>
  <si>
    <t>MBT 63"</t>
  </si>
  <si>
    <t>MBT 72"</t>
  </si>
  <si>
    <t>Cored Slabs and Box Beams (Refined Method)</t>
  </si>
  <si>
    <t>Predicted Camber for Prestressed Concrete Girders,</t>
  </si>
  <si>
    <t>&lt;----    Report this value on the plans for Cored Slabs and Box Beams</t>
  </si>
  <si>
    <t>Note:  For Prestressed Girders and MBT's, see the following sheet</t>
  </si>
  <si>
    <t>Prestressed Concrete Girders and Modified Bulb Tee Girders</t>
  </si>
  <si>
    <t>10th or 20th pts</t>
  </si>
  <si>
    <t>10th</t>
  </si>
  <si>
    <t>20th</t>
  </si>
  <si>
    <r>
      <t>Camber required at 10</t>
    </r>
    <r>
      <rPr>
        <vertAlign val="superscript"/>
        <sz val="11"/>
        <rFont val="Calibri"/>
        <family val="2"/>
        <scheme val="minor"/>
      </rPr>
      <t>th</t>
    </r>
    <r>
      <rPr>
        <sz val="11"/>
        <rFont val="Calibri"/>
        <family val="2"/>
        <scheme val="minor"/>
      </rPr>
      <t xml:space="preserve"> or 20</t>
    </r>
    <r>
      <rPr>
        <vertAlign val="superscript"/>
        <sz val="11"/>
        <rFont val="Calibri"/>
        <family val="2"/>
        <scheme val="minor"/>
      </rPr>
      <t>th</t>
    </r>
    <r>
      <rPr>
        <sz val="11"/>
        <rFont val="Calibri"/>
        <family val="2"/>
        <scheme val="minor"/>
      </rPr>
      <t xml:space="preserve"> points?</t>
    </r>
  </si>
  <si>
    <t>Point</t>
  </si>
  <si>
    <r>
      <t>10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or 20</t>
    </r>
    <r>
      <rPr>
        <vertAlign val="superscript"/>
        <sz val="11"/>
        <color theme="1"/>
        <rFont val="Calibri"/>
        <family val="2"/>
        <scheme val="minor"/>
      </rPr>
      <t>th</t>
    </r>
  </si>
  <si>
    <t>Camber</t>
  </si>
  <si>
    <t>(Girder alone</t>
  </si>
  <si>
    <t>in place)</t>
  </si>
  <si>
    <t>Parabolic</t>
  </si>
  <si>
    <t>Multiplier</t>
  </si>
  <si>
    <t xml:space="preserve">         Report these values</t>
  </si>
  <si>
    <t>&lt;----    on the plans for</t>
  </si>
  <si>
    <t xml:space="preserve">             PCG's and MBT's</t>
  </si>
  <si>
    <t>Humidity Percent</t>
  </si>
  <si>
    <t>Camber (Girder alone in place)</t>
  </si>
  <si>
    <t>(see note 4)</t>
  </si>
  <si>
    <t>Note 2)  Height of strands, measured in inches from bottom of girder to C/L strands</t>
  </si>
  <si>
    <t>Note 3)  Number of fully bonded strands per row at midspan</t>
  </si>
  <si>
    <t>Note 4)  Number of fully bonded strands per row at end of girder (exclude any debonded strands, if any)</t>
  </si>
  <si>
    <t>Additional Note) If optional full length debonded strands are provided, such as in the cored slab and</t>
  </si>
  <si>
    <t>box beam standard design plans, do not include them in the strand pattern tables above or in the</t>
  </si>
  <si>
    <t>average length of debonding below.</t>
  </si>
  <si>
    <t>** Note that hovering over some input cells will provide comments **</t>
  </si>
  <si>
    <t>Note 1)  Rows of strands, beginning from bottom of girder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</si>
</sst>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000"/>
    <numFmt numFmtId="166" formatCode="0.000000"/>
    <numFmt numFmtId="167" formatCode="0.0"/>
    <numFmt numFmtId="168" formatCode="0.000&quot;''&quot;"/>
    <numFmt numFmtId="169" formatCode="0.000&quot;'&quot;"/>
  </numFmts>
  <fonts count="15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u/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vertAlign val="superscript"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165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64" fontId="0" fillId="0" borderId="0" xfId="0" applyNumberFormat="1" applyFont="1" applyFill="1" applyAlignment="1">
      <alignment horizontal="right"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16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164" fontId="0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167" fontId="0" fillId="0" borderId="0" xfId="0" applyNumberFormat="1" applyFont="1" applyAlignment="1">
      <alignment vertical="center"/>
    </xf>
    <xf numFmtId="167" fontId="0" fillId="0" borderId="0" xfId="0" applyNumberFormat="1" applyFont="1" applyFill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" borderId="6" xfId="0" applyFill="1" applyBorder="1" applyAlignment="1" applyProtection="1">
      <alignment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0" fontId="0" fillId="2" borderId="6" xfId="0" applyFill="1" applyBorder="1" applyAlignment="1" applyProtection="1">
      <alignment horizontal="right" vertical="center"/>
      <protection locked="0"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vertical="center"/>
    </xf>
    <xf numFmtId="164" fontId="0" fillId="0" borderId="6" xfId="0" applyNumberFormat="1" applyFill="1" applyBorder="1" applyAlignment="1" applyProtection="1">
      <alignment horizontal="right" vertical="center"/>
    </xf>
    <xf numFmtId="0" fontId="0" fillId="0" borderId="6" xfId="0" applyFill="1" applyBorder="1" applyAlignment="1" applyProtection="1">
      <alignment horizontal="center" vertical="center"/>
    </xf>
    <xf numFmtId="1" fontId="0" fillId="0" borderId="6" xfId="0" applyNumberFormat="1" applyFill="1" applyBorder="1" applyAlignment="1" applyProtection="1">
      <alignment horizontal="right" vertical="center"/>
    </xf>
    <xf numFmtId="167" fontId="0" fillId="0" borderId="6" xfId="0" applyNumberFormat="1" applyFill="1" applyBorder="1" applyAlignment="1" applyProtection="1">
      <alignment horizontal="right" vertical="center"/>
    </xf>
    <xf numFmtId="0" fontId="0" fillId="0" borderId="0" xfId="0" applyFill="1" applyAlignment="1" applyProtection="1">
      <alignment vertical="center"/>
    </xf>
    <xf numFmtId="0" fontId="7" fillId="0" borderId="6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0" fillId="0" borderId="13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 wrapText="1"/>
    </xf>
    <xf numFmtId="165" fontId="0" fillId="0" borderId="0" xfId="0" applyNumberFormat="1" applyFill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>
      <alignment horizontal="right" vertical="center"/>
    </xf>
    <xf numFmtId="0" fontId="0" fillId="0" borderId="0" xfId="0" applyFont="1" applyAlignment="1" applyProtection="1">
      <alignment horizontal="left" vertical="center"/>
    </xf>
    <xf numFmtId="1" fontId="0" fillId="0" borderId="0" xfId="0" applyNumberFormat="1" applyFont="1" applyAlignment="1" applyProtection="1">
      <alignment vertical="center"/>
    </xf>
    <xf numFmtId="164" fontId="0" fillId="0" borderId="0" xfId="0" applyNumberFormat="1" applyFont="1" applyFill="1" applyAlignment="1" applyProtection="1">
      <alignment horizontal="right" vertical="center"/>
    </xf>
    <xf numFmtId="167" fontId="0" fillId="0" borderId="0" xfId="0" applyNumberFormat="1" applyFont="1" applyFill="1" applyAlignment="1" applyProtection="1">
      <alignment horizontal="right" vertical="center"/>
    </xf>
    <xf numFmtId="164" fontId="0" fillId="0" borderId="0" xfId="0" applyNumberFormat="1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164" fontId="0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right" vertical="center"/>
    </xf>
    <xf numFmtId="164" fontId="4" fillId="0" borderId="0" xfId="0" applyNumberFormat="1" applyFont="1" applyAlignment="1" applyProtection="1">
      <alignment horizontal="right" vertical="center"/>
    </xf>
    <xf numFmtId="1" fontId="0" fillId="0" borderId="0" xfId="0" applyNumberFormat="1" applyFont="1" applyFill="1" applyAlignment="1" applyProtection="1">
      <alignment vertical="center"/>
    </xf>
    <xf numFmtId="164" fontId="0" fillId="0" borderId="0" xfId="0" applyNumberFormat="1" applyFont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166" fontId="0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167" fontId="0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horizontal="right" vertical="center" wrapText="1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6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7" fontId="0" fillId="0" borderId="6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167" fontId="0" fillId="3" borderId="6" xfId="0" applyNumberFormat="1" applyFill="1" applyBorder="1" applyAlignment="1" applyProtection="1">
      <alignment horizontal="center" vertical="center"/>
    </xf>
    <xf numFmtId="1" fontId="0" fillId="3" borderId="6" xfId="0" applyNumberFormat="1" applyFill="1" applyBorder="1" applyAlignment="1" applyProtection="1">
      <alignment horizontal="center" vertical="center"/>
    </xf>
    <xf numFmtId="164" fontId="0" fillId="3" borderId="6" xfId="0" applyNumberFormat="1" applyFill="1" applyBorder="1" applyAlignment="1" applyProtection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right" vertical="center"/>
    </xf>
    <xf numFmtId="164" fontId="0" fillId="0" borderId="6" xfId="0" applyNumberForma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right" vertical="center"/>
    </xf>
    <xf numFmtId="164" fontId="0" fillId="4" borderId="6" xfId="0" applyNumberFormat="1" applyFill="1" applyBorder="1" applyAlignment="1" applyProtection="1">
      <alignment horizontal="center" vertical="center"/>
    </xf>
    <xf numFmtId="0" fontId="0" fillId="4" borderId="6" xfId="0" applyFill="1" applyBorder="1" applyAlignment="1" applyProtection="1">
      <alignment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8" fontId="0" fillId="0" borderId="6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169" fontId="0" fillId="4" borderId="6" xfId="0" applyNumberForma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169" fontId="0" fillId="4" borderId="1" xfId="0" applyNumberFormat="1" applyFill="1" applyBorder="1" applyAlignment="1">
      <alignment horizontal="center" vertical="center"/>
    </xf>
    <xf numFmtId="0" fontId="0" fillId="4" borderId="5" xfId="0" applyFont="1" applyFill="1" applyBorder="1" applyAlignment="1" applyProtection="1">
      <alignment vertical="center"/>
    </xf>
    <xf numFmtId="0" fontId="0" fillId="4" borderId="12" xfId="0" applyFont="1" applyFill="1" applyBorder="1" applyAlignment="1" applyProtection="1">
      <alignment vertical="center"/>
    </xf>
    <xf numFmtId="0" fontId="0" fillId="4" borderId="10" xfId="0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1" fontId="0" fillId="0" borderId="6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vertical="center" wrapText="1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ont="1" applyFill="1" applyBorder="1" applyAlignment="1" applyProtection="1">
      <alignment horizontal="center" vertical="center"/>
      <protection locked="0"/>
    </xf>
    <xf numFmtId="0" fontId="11" fillId="4" borderId="6" xfId="0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6" xfId="0" applyFont="1" applyFill="1" applyBorder="1" applyAlignment="1" applyProtection="1">
      <alignment horizontal="left" vertical="center"/>
    </xf>
    <xf numFmtId="0" fontId="0" fillId="0" borderId="6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right" vertical="center"/>
    </xf>
    <xf numFmtId="0" fontId="0" fillId="0" borderId="0" xfId="0" applyAlignment="1" applyProtection="1">
      <alignment vertical="center" wrapText="1"/>
    </xf>
    <xf numFmtId="0" fontId="6" fillId="0" borderId="6" xfId="0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19050</xdr:colOff>
      <xdr:row>42</xdr:row>
      <xdr:rowOff>0</xdr:rowOff>
    </xdr:from>
    <xdr:ext cx="91440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3409950" y="11811000"/>
              <a:ext cx="9144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0">
                        <a:latin typeface="Cambria Math"/>
                      </a:rPr>
                      <m:t>1.25</m:t>
                    </m:r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f</m:t>
                        </m:r>
                        <m:r>
                          <a:rPr lang="en-US" sz="1100" b="0" i="0">
                            <a:latin typeface="Cambria Math"/>
                          </a:rPr>
                          <m:t>′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ci</m:t>
                        </m:r>
                      </m:sub>
                    </m:sSub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3409950" y="11811000"/>
              <a:ext cx="9144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1.25〖f′〗_ci=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4</xdr:col>
      <xdr:colOff>38100</xdr:colOff>
      <xdr:row>43</xdr:row>
      <xdr:rowOff>9525</xdr:rowOff>
    </xdr:from>
    <xdr:ext cx="91440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3429000" y="12049125"/>
              <a:ext cx="9144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0">
                        <a:latin typeface="Cambria Math"/>
                      </a:rPr>
                      <m:t>1.45</m:t>
                    </m:r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f</m:t>
                        </m:r>
                        <m:r>
                          <a:rPr lang="en-US" sz="1100" b="0" i="0">
                            <a:latin typeface="Cambria Math"/>
                          </a:rPr>
                          <m:t>′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c</m:t>
                        </m:r>
                      </m:sub>
                    </m:sSub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3429000" y="12049125"/>
              <a:ext cx="9144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1.45〖f′〗_c=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761999</xdr:colOff>
      <xdr:row>46</xdr:row>
      <xdr:rowOff>152400</xdr:rowOff>
    </xdr:from>
    <xdr:ext cx="1847851" cy="2973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761999" y="12839700"/>
              <a:ext cx="1847851" cy="297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r>
                          <a:rPr lang="en-US" sz="1100" b="0" i="0">
                            <a:latin typeface="Cambria Math"/>
                          </a:rPr>
                          <m:t>0.85</m:t>
                        </m:r>
                      </m:e>
                    </m:d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r>
                          <a:rPr lang="en-US" sz="1100" b="0" i="0">
                            <a:latin typeface="Cambria Math"/>
                          </a:rPr>
                          <m:t>33</m:t>
                        </m:r>
                      </m:e>
                    </m:d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sSup>
                          <m:sSup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pPr>
                          <m:e>
                            <m:r>
                              <a:rPr lang="en-US" sz="1100" b="0" i="0">
                                <a:latin typeface="Cambria Math"/>
                              </a:rPr>
                              <m:t>150</m:t>
                            </m:r>
                          </m:e>
                          <m:sup>
                            <m:r>
                              <a:rPr lang="en-US" sz="1100" b="0" i="0">
                                <a:latin typeface="Cambria Math"/>
                              </a:rPr>
                              <m:t>1.5</m:t>
                            </m:r>
                          </m:sup>
                        </m:sSup>
                      </m:e>
                    </m:d>
                    <m:rad>
                      <m:radPr>
                        <m:degHide m:val="on"/>
                        <m:ctrlPr>
                          <a:rPr lang="en-US" sz="1100" b="0" i="1">
                            <a:latin typeface="Cambria Math"/>
                          </a:rPr>
                        </m:ctrlPr>
                      </m:radPr>
                      <m:deg/>
                      <m:e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sSup>
                              <m:sSupPr>
                                <m:ctrlPr>
                                  <a:rPr lang="en-US" sz="1100" b="0" i="1">
                                    <a:latin typeface="Cambria Math"/>
                                  </a:rPr>
                                </m:ctrlPr>
                              </m:sSup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f</m:t>
                                </m:r>
                              </m:e>
                              <m:sup>
                                <m:r>
                                  <a:rPr lang="en-US" sz="1100" b="0" i="0">
                                    <a:latin typeface="Cambria Math"/>
                                  </a:rPr>
                                  <m:t>∗</m:t>
                                </m:r>
                              </m:sup>
                            </m:sSup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ci</m:t>
                            </m:r>
                          </m:sub>
                        </m:sSub>
                      </m:e>
                    </m:rad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761999" y="12839700"/>
              <a:ext cx="1847851" cy="297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(0.85)(33)(〖150〗^1.5 ) √(〖f^∗〗_ci )=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781050</xdr:colOff>
      <xdr:row>47</xdr:row>
      <xdr:rowOff>200025</xdr:rowOff>
    </xdr:from>
    <xdr:ext cx="1847851" cy="2973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781050" y="13077825"/>
              <a:ext cx="1847851" cy="297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r>
                          <a:rPr lang="en-US" sz="1100" b="0" i="0">
                            <a:latin typeface="Cambria Math"/>
                          </a:rPr>
                          <m:t>0.85</m:t>
                        </m:r>
                      </m:e>
                    </m:d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r>
                          <a:rPr lang="en-US" sz="1100" b="0" i="0">
                            <a:latin typeface="Cambria Math"/>
                          </a:rPr>
                          <m:t>33</m:t>
                        </m:r>
                      </m:e>
                    </m:d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sSup>
                          <m:sSup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pPr>
                          <m:e>
                            <m:r>
                              <a:rPr lang="en-US" sz="1100" b="0" i="0">
                                <a:latin typeface="Cambria Math"/>
                              </a:rPr>
                              <m:t>150</m:t>
                            </m:r>
                          </m:e>
                          <m:sup>
                            <m:r>
                              <a:rPr lang="en-US" sz="1100" b="0" i="0">
                                <a:latin typeface="Cambria Math"/>
                              </a:rPr>
                              <m:t>1.5</m:t>
                            </m:r>
                          </m:sup>
                        </m:sSup>
                      </m:e>
                    </m:d>
                    <m:rad>
                      <m:radPr>
                        <m:degHide m:val="on"/>
                        <m:ctrlPr>
                          <a:rPr lang="en-US" sz="1100" b="0" i="1">
                            <a:latin typeface="Cambria Math"/>
                          </a:rPr>
                        </m:ctrlPr>
                      </m:radPr>
                      <m:deg/>
                      <m:e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sSup>
                              <m:sSupPr>
                                <m:ctrlPr>
                                  <a:rPr lang="en-US" sz="1100" b="0" i="1">
                                    <a:latin typeface="Cambria Math"/>
                                  </a:rPr>
                                </m:ctrlPr>
                              </m:sSup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f</m:t>
                                </m:r>
                              </m:e>
                              <m:sup>
                                <m:r>
                                  <a:rPr lang="en-US" sz="1100" b="0" i="0">
                                    <a:latin typeface="Cambria Math"/>
                                  </a:rPr>
                                  <m:t>∗</m:t>
                                </m:r>
                              </m:sup>
                            </m:sSup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c</m:t>
                            </m:r>
                          </m:sub>
                        </m:sSub>
                      </m:e>
                    </m:rad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781050" y="13077825"/>
              <a:ext cx="1847851" cy="297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(0.85)(33)(〖150〗^1.5 ) √(〖f^∗〗_c )=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742949</xdr:colOff>
      <xdr:row>63</xdr:row>
      <xdr:rowOff>190500</xdr:rowOff>
    </xdr:from>
    <xdr:ext cx="1933576" cy="4917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742949" y="14554200"/>
              <a:ext cx="1933576" cy="4917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i="1">
                                <a:latin typeface="Cambria Math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110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0">
                                    <a:latin typeface="Cambria Math"/>
                                  </a:rPr>
                                  <m:t>(</m:t>
                                </m:r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w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g</m:t>
                                </m:r>
                              </m:sub>
                            </m:sSub>
                            <m:r>
                              <a:rPr lang="en-US" sz="1100" b="0" i="0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en-US" sz="11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w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d</m:t>
                                </m:r>
                              </m:sub>
                            </m:sSub>
                            <m:r>
                              <a:rPr lang="en-US" sz="1100" b="0" i="0">
                                <a:latin typeface="Cambria Math"/>
                              </a:rPr>
                              <m:t>)(</m:t>
                            </m:r>
                            <m:sSup>
                              <m:sSupPr>
                                <m:ctrlPr>
                                  <a:rPr lang="en-US" sz="1100" b="0" i="1">
                                    <a:latin typeface="Cambria Math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n-US" sz="1100" b="0" i="1">
                                        <a:latin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latin typeface="Cambria Math"/>
                                      </a:rPr>
                                      <m:t>L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latin typeface="Cambria Math"/>
                                      </a:rPr>
                                      <m:t>m</m:t>
                                    </m:r>
                                  </m:sub>
                                </m:sSub>
                              </m:e>
                              <m:sup>
                                <m:r>
                                  <a:rPr lang="en-US" sz="1100" b="0" i="0">
                                    <a:latin typeface="Cambria Math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lang="en-US" sz="1100" b="0" i="0">
                                <a:latin typeface="Cambria Math"/>
                              </a:rPr>
                              <m:t>)</m:t>
                            </m:r>
                          </m:num>
                          <m:den>
                            <m:r>
                              <a:rPr lang="en-US" sz="1100" b="0" i="0">
                                <a:latin typeface="Cambria Math"/>
                              </a:rPr>
                              <m:t>8</m:t>
                            </m:r>
                          </m:den>
                        </m:f>
                      </m:e>
                    </m:d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r>
                          <a:rPr lang="en-US" sz="1100" b="0" i="0">
                            <a:latin typeface="Cambria Math"/>
                          </a:rPr>
                          <m:t>12</m:t>
                        </m:r>
                      </m:e>
                    </m:d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742949" y="14554200"/>
              <a:ext cx="1933576" cy="4917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((〖</a:t>
              </a:r>
              <a:r>
                <a:rPr lang="en-US" sz="1100" b="0" i="0">
                  <a:latin typeface="Cambria Math"/>
                </a:rPr>
                <a:t>(w〗_g+w_d)(〖L_m〗^2))/8)(12)=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571500</xdr:colOff>
      <xdr:row>70</xdr:row>
      <xdr:rowOff>0</xdr:rowOff>
    </xdr:from>
    <xdr:ext cx="2924176" cy="4472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571500" y="15849600"/>
              <a:ext cx="2924176" cy="4472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subHide m:val="on"/>
                            <m:supHide m:val="on"/>
                            <m:ctrlPr>
                              <a:rPr lang="en-US" sz="1100" i="1">
                                <a:latin typeface="Cambria Math"/>
                              </a:rPr>
                            </m:ctrlPr>
                          </m:naryPr>
                          <m:sub/>
                          <m:sup/>
                          <m:e>
                            <m:d>
                              <m:dPr>
                                <m:ctrlPr>
                                  <a:rPr lang="en-US" sz="1100" b="0" i="1"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Number</m:t>
                                </m:r>
                                <m:r>
                                  <a:rPr lang="en-US" sz="1100" b="0" i="0">
                                    <a:latin typeface="Cambria Math"/>
                                  </a:rPr>
                                  <m:t> </m:t>
                                </m:r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of</m:t>
                                </m:r>
                                <m:r>
                                  <a:rPr lang="en-US" sz="1100" b="0" i="0">
                                    <a:latin typeface="Cambria Math"/>
                                  </a:rPr>
                                  <m:t> </m:t>
                                </m:r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strands</m:t>
                                </m:r>
                              </m:e>
                            </m:d>
                            <m:d>
                              <m:dPr>
                                <m:ctrlPr>
                                  <a:rPr lang="en-US" sz="1100" b="0" i="1"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Strand</m:t>
                                </m:r>
                                <m:r>
                                  <a:rPr lang="en-US" sz="1100" b="0" i="0">
                                    <a:latin typeface="Cambria Math"/>
                                  </a:rPr>
                                  <m:t> </m:t>
                                </m:r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Height</m:t>
                                </m:r>
                              </m:e>
                            </m:d>
                          </m:e>
                        </m:nary>
                      </m:num>
                      <m:den>
                        <m:sSub>
                          <m:sSubPr>
                            <m:ctrlPr>
                              <a:rPr lang="en-US" sz="110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Strands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m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571500" y="15849600"/>
              <a:ext cx="2924176" cy="4472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(∑</a:t>
              </a:r>
              <a:r>
                <a:rPr lang="en-US" sz="1100" b="0" i="0">
                  <a:latin typeface="Cambria Math"/>
                </a:rPr>
                <a:t>▒(Number of strands)(Strand Height) )/Strands_m 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800100</xdr:colOff>
      <xdr:row>72</xdr:row>
      <xdr:rowOff>209550</xdr:rowOff>
    </xdr:from>
    <xdr:ext cx="914400" cy="27494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/>
            <xdr:cNvSpPr txBox="1"/>
          </xdr:nvSpPr>
          <xdr:spPr>
            <a:xfrm>
              <a:off x="800100" y="16478250"/>
              <a:ext cx="914400" cy="2749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y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c</m:t>
                        </m:r>
                      </m:sub>
                    </m:sSub>
                    <m:r>
                      <a:rPr lang="en-US" sz="1100" b="0" i="0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y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psm</m:t>
                        </m:r>
                      </m:sub>
                    </m:sSub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800100" y="16478250"/>
              <a:ext cx="914400" cy="2749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y_c−y_psm=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638175</xdr:colOff>
      <xdr:row>75</xdr:row>
      <xdr:rowOff>219075</xdr:rowOff>
    </xdr:from>
    <xdr:ext cx="2847976" cy="4472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/>
            <xdr:cNvSpPr txBox="1"/>
          </xdr:nvSpPr>
          <xdr:spPr>
            <a:xfrm>
              <a:off x="638175" y="17135475"/>
              <a:ext cx="2847976" cy="4472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subHide m:val="on"/>
                            <m:supHide m:val="on"/>
                            <m:ctrlPr>
                              <a:rPr lang="en-US" sz="1100" i="1">
                                <a:latin typeface="Cambria Math"/>
                              </a:rPr>
                            </m:ctrlPr>
                          </m:naryPr>
                          <m:sub/>
                          <m:sup/>
                          <m:e>
                            <m:d>
                              <m:dPr>
                                <m:ctrlPr>
                                  <a:rPr lang="en-US" sz="1100" b="0" i="1"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Number</m:t>
                                </m:r>
                                <m:r>
                                  <a:rPr lang="en-US" sz="1100" b="0" i="0">
                                    <a:latin typeface="Cambria Math"/>
                                  </a:rPr>
                                  <m:t> </m:t>
                                </m:r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of</m:t>
                                </m:r>
                                <m:r>
                                  <a:rPr lang="en-US" sz="1100" b="0" i="0">
                                    <a:latin typeface="Cambria Math"/>
                                  </a:rPr>
                                  <m:t> </m:t>
                                </m:r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strands</m:t>
                                </m:r>
                              </m:e>
                            </m:d>
                            <m:d>
                              <m:dPr>
                                <m:ctrlPr>
                                  <a:rPr lang="en-US" sz="1100" b="0" i="1"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Strand</m:t>
                                </m:r>
                                <m:r>
                                  <a:rPr lang="en-US" sz="1100" b="0" i="0">
                                    <a:latin typeface="Cambria Math"/>
                                  </a:rPr>
                                  <m:t> </m:t>
                                </m:r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Height</m:t>
                                </m:r>
                              </m:e>
                            </m:d>
                          </m:e>
                        </m:nary>
                      </m:num>
                      <m:den>
                        <m:sSub>
                          <m:sSubPr>
                            <m:ctrlPr>
                              <a:rPr lang="en-US" sz="110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Strands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e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638175" y="17135475"/>
              <a:ext cx="2847976" cy="4472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(∑</a:t>
              </a:r>
              <a:r>
                <a:rPr lang="en-US" sz="1100" b="0" i="0">
                  <a:latin typeface="Cambria Math"/>
                </a:rPr>
                <a:t>▒(Number of strands)(Strand Height) )/Strands_e 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733425</xdr:colOff>
      <xdr:row>78</xdr:row>
      <xdr:rowOff>209550</xdr:rowOff>
    </xdr:from>
    <xdr:ext cx="914400" cy="27494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/>
            <xdr:cNvSpPr txBox="1"/>
          </xdr:nvSpPr>
          <xdr:spPr>
            <a:xfrm>
              <a:off x="733425" y="17773650"/>
              <a:ext cx="914400" cy="2749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y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c</m:t>
                        </m:r>
                      </m:sub>
                    </m:sSub>
                    <m:r>
                      <a:rPr lang="en-US" sz="1100" b="0" i="0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y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pse</m:t>
                        </m:r>
                      </m:sub>
                    </m:sSub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733425" y="17773650"/>
              <a:ext cx="914400" cy="2749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y_c−y_pse=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752474</xdr:colOff>
      <xdr:row>83</xdr:row>
      <xdr:rowOff>209550</xdr:rowOff>
    </xdr:from>
    <xdr:ext cx="1676401" cy="28341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/>
            <xdr:cNvSpPr txBox="1"/>
          </xdr:nvSpPr>
          <xdr:spPr>
            <a:xfrm>
              <a:off x="752474" y="18802350"/>
              <a:ext cx="1676401" cy="2834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A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s</m:t>
                            </m:r>
                            <m:r>
                              <a:rPr lang="en-US" sz="1100" b="0" i="0">
                                <a:latin typeface="Cambria Math"/>
                              </a:rPr>
                              <m:t>,</m:t>
                            </m:r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each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Strands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m</m:t>
                            </m:r>
                          </m:sub>
                        </m:sSub>
                      </m:e>
                    </m:d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11" name="TextBox 10"/>
            <xdr:cNvSpPr txBox="1"/>
          </xdr:nvSpPr>
          <xdr:spPr>
            <a:xfrm>
              <a:off x="752474" y="18802350"/>
              <a:ext cx="1676401" cy="2834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(</a:t>
              </a:r>
              <a:r>
                <a:rPr lang="en-US" sz="1100" b="0" i="0">
                  <a:latin typeface="Cambria Math"/>
                </a:rPr>
                <a:t>A_(s,each) )(Strands_m )=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</xdr:col>
      <xdr:colOff>104774</xdr:colOff>
      <xdr:row>85</xdr:row>
      <xdr:rowOff>209550</xdr:rowOff>
    </xdr:from>
    <xdr:ext cx="1600201" cy="28674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/>
            <xdr:cNvSpPr txBox="1"/>
          </xdr:nvSpPr>
          <xdr:spPr>
            <a:xfrm>
              <a:off x="952499" y="19259550"/>
              <a:ext cx="1600201" cy="2867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r>
                          <a:rPr lang="en-US" sz="1100" b="0" i="0">
                            <a:latin typeface="Cambria Math"/>
                          </a:rPr>
                          <m:t>0.75</m:t>
                        </m:r>
                      </m:e>
                    </m:d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f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pu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A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ps</m:t>
                            </m:r>
                          </m:sub>
                        </m:sSub>
                      </m:e>
                    </m:d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952499" y="19259550"/>
              <a:ext cx="1600201" cy="2867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(0.75)(f_pu )(A_ps )=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</xdr:col>
      <xdr:colOff>85725</xdr:colOff>
      <xdr:row>91</xdr:row>
      <xdr:rowOff>180975</xdr:rowOff>
    </xdr:from>
    <xdr:ext cx="914400" cy="2755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/>
            <xdr:cNvSpPr txBox="1"/>
          </xdr:nvSpPr>
          <xdr:spPr>
            <a:xfrm>
              <a:off x="933450" y="20488275"/>
              <a:ext cx="914400" cy="2755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0">
                        <a:latin typeface="Cambria Math"/>
                      </a:rPr>
                      <m:t>0.9</m:t>
                    </m:r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j</m:t>
                        </m:r>
                      </m:sub>
                    </m:sSub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13" name="TextBox 12"/>
            <xdr:cNvSpPr txBox="1"/>
          </xdr:nvSpPr>
          <xdr:spPr>
            <a:xfrm>
              <a:off x="933450" y="20488275"/>
              <a:ext cx="914400" cy="2755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0.9P_j=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666750</xdr:colOff>
      <xdr:row>92</xdr:row>
      <xdr:rowOff>180975</xdr:rowOff>
    </xdr:from>
    <xdr:ext cx="2905126" cy="4935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/>
            <xdr:cNvSpPr txBox="1"/>
          </xdr:nvSpPr>
          <xdr:spPr>
            <a:xfrm>
              <a:off x="666750" y="20678775"/>
              <a:ext cx="2905126" cy="4935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P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i</m:t>
                            </m:r>
                            <m:d>
                              <m:dPr>
                                <m:ctrlPr>
                                  <a:rPr lang="en-US" sz="1100" b="0" i="1"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guess</m:t>
                                </m:r>
                              </m:e>
                            </m:d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US" sz="110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A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g</m:t>
                            </m:r>
                          </m:sub>
                        </m:sSub>
                      </m:den>
                    </m:f>
                    <m:r>
                      <a:rPr lang="en-US" sz="1100" b="0" i="0">
                        <a:latin typeface="Cambria Math"/>
                      </a:rPr>
                      <m:t>+</m:t>
                    </m:r>
                    <m:f>
                      <m:fPr>
                        <m:ctrlPr>
                          <a:rPr lang="en-US" sz="11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100" b="0" i="0">
                            <a:latin typeface="Cambria Math"/>
                          </a:rPr>
                          <m:t>(</m:t>
                        </m:r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P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i</m:t>
                            </m:r>
                            <m:d>
                              <m:dPr>
                                <m:ctrlPr>
                                  <a:rPr lang="en-US" sz="1100" b="0" i="1"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guess</m:t>
                                </m:r>
                              </m:e>
                            </m:d>
                          </m:sub>
                        </m:sSub>
                        <m:r>
                          <a:rPr lang="en-US" sz="1100" b="0" i="0">
                            <a:latin typeface="Cambria Math"/>
                          </a:rPr>
                          <m:t>)(</m:t>
                        </m:r>
                        <m:sSup>
                          <m:sSup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pPr>
                          <m:e>
                            <m:sSub>
                              <m:sSubPr>
                                <m:ctrlPr>
                                  <a:rPr lang="en-US" sz="11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e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m</m:t>
                                </m:r>
                              </m:sub>
                            </m:sSub>
                          </m:e>
                          <m:sup>
                            <m:r>
                              <a:rPr lang="en-US" sz="1100" b="0" i="0">
                                <a:latin typeface="Cambria Math"/>
                              </a:rPr>
                              <m:t>2</m:t>
                            </m:r>
                          </m:sup>
                        </m:sSup>
                        <m:r>
                          <a:rPr lang="en-US" sz="1100" b="0" i="0">
                            <a:latin typeface="Cambria Math"/>
                          </a:rPr>
                          <m:t>)</m:t>
                        </m:r>
                      </m:num>
                      <m:den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I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g</m:t>
                            </m:r>
                          </m:sub>
                        </m:sSub>
                      </m:den>
                    </m:f>
                    <m:r>
                      <a:rPr lang="en-US" sz="1100" b="0" i="0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en-US" sz="1100" b="0" i="1">
                            <a:latin typeface="Cambria Math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US" sz="11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M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g</m:t>
                                </m:r>
                              </m:sub>
                            </m:sSub>
                          </m:e>
                        </m:d>
                        <m:d>
                          <m:d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US" sz="11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e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m</m:t>
                                </m:r>
                              </m:sub>
                            </m:sSub>
                          </m:e>
                        </m:d>
                      </m:num>
                      <m:den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I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g</m:t>
                            </m:r>
                          </m:sub>
                        </m:sSub>
                      </m:den>
                    </m:f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666750" y="20678775"/>
              <a:ext cx="2905126" cy="4935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P_i(guess) /A_g +((P_i(guess) )(〖e_m〗^2))/I_g −(M_g )(e_m )/I_g 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714375</xdr:colOff>
      <xdr:row>94</xdr:row>
      <xdr:rowOff>152400</xdr:rowOff>
    </xdr:from>
    <xdr:ext cx="1143000" cy="472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/>
            <xdr:cNvSpPr txBox="1"/>
          </xdr:nvSpPr>
          <xdr:spPr>
            <a:xfrm>
              <a:off x="714375" y="21107400"/>
              <a:ext cx="1143000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i="1">
                                <a:latin typeface="Cambria Math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110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E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ps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en-US" sz="110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E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ci</m:t>
                                </m:r>
                              </m:sub>
                            </m:sSub>
                          </m:den>
                        </m:f>
                      </m:e>
                    </m:d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f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cgp</m:t>
                            </m:r>
                          </m:sub>
                        </m:sSub>
                      </m:e>
                    </m:d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714375" y="21107400"/>
              <a:ext cx="1143000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(</a:t>
              </a:r>
              <a:r>
                <a:rPr lang="en-US" sz="1100" b="0" i="0">
                  <a:latin typeface="Cambria Math"/>
                </a:rPr>
                <a:t>E_ps/E_ci )(f_cgp )=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</xdr:col>
      <xdr:colOff>133350</xdr:colOff>
      <xdr:row>97</xdr:row>
      <xdr:rowOff>171450</xdr:rowOff>
    </xdr:from>
    <xdr:ext cx="1619250" cy="28732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/>
            <xdr:cNvSpPr txBox="1"/>
          </xdr:nvSpPr>
          <xdr:spPr>
            <a:xfrm>
              <a:off x="981075" y="22498050"/>
              <a:ext cx="1619250" cy="2873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j</m:t>
                        </m:r>
                      </m:sub>
                    </m:sSub>
                    <m:r>
                      <a:rPr lang="en-US" sz="1100" b="0" i="0">
                        <a:latin typeface="Cambria Math"/>
                      </a:rPr>
                      <m:t>−</m:t>
                    </m:r>
                    <m:d>
                      <m:dPr>
                        <m:ctrlPr>
                          <a:rPr lang="en-US" sz="1100" b="0" i="1">
                            <a:latin typeface="Cambria Math"/>
                            <a:ea typeface="Cambria Math"/>
                          </a:rPr>
                        </m:ctrlPr>
                      </m:dPr>
                      <m:e>
                        <m:r>
                          <a:rPr lang="en-US" sz="1100" b="0" i="0">
                            <a:latin typeface="Cambria Math"/>
                            <a:ea typeface="Cambria Math"/>
                          </a:rPr>
                          <m:t>∆</m:t>
                        </m:r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  <a:ea typeface="Cambria Math"/>
                              </a:rPr>
                              <m:t>f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  <a:ea typeface="Cambria Math"/>
                              </a:rPr>
                              <m:t>pES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/>
                            <a:ea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  <a:ea typeface="Cambria Math"/>
                              </a:rPr>
                              <m:t>A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  <a:ea typeface="Cambria Math"/>
                              </a:rPr>
                              <m:t>ps</m:t>
                            </m:r>
                          </m:sub>
                        </m:sSub>
                      </m:e>
                    </m:d>
                    <m:r>
                      <a:rPr lang="en-US" sz="1100" b="0" i="0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16" name="TextBox 15"/>
            <xdr:cNvSpPr txBox="1"/>
          </xdr:nvSpPr>
          <xdr:spPr>
            <a:xfrm>
              <a:off x="981075" y="22498050"/>
              <a:ext cx="1619250" cy="2873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P_j−</a:t>
              </a:r>
              <a:r>
                <a:rPr lang="en-US" sz="1100" b="0" i="0">
                  <a:latin typeface="Cambria Math"/>
                  <a:ea typeface="Cambria Math"/>
                </a:rPr>
                <a:t>(∆f_pES )(A_ps )=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485775</xdr:colOff>
      <xdr:row>98</xdr:row>
      <xdr:rowOff>180975</xdr:rowOff>
    </xdr:from>
    <xdr:ext cx="2552700" cy="4935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/>
            <xdr:cNvSpPr txBox="1"/>
          </xdr:nvSpPr>
          <xdr:spPr>
            <a:xfrm>
              <a:off x="485775" y="22698075"/>
              <a:ext cx="2552700" cy="4935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P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i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US" sz="110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A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g</m:t>
                            </m:r>
                          </m:sub>
                        </m:sSub>
                      </m:den>
                    </m:f>
                    <m:r>
                      <a:rPr lang="en-US" sz="1100" b="0" i="0">
                        <a:latin typeface="Cambria Math"/>
                      </a:rPr>
                      <m:t>+</m:t>
                    </m:r>
                    <m:f>
                      <m:fPr>
                        <m:ctrlPr>
                          <a:rPr lang="en-US" sz="11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100" b="0" i="0">
                            <a:latin typeface="Cambria Math"/>
                          </a:rPr>
                          <m:t>(</m:t>
                        </m:r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P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i</m:t>
                            </m:r>
                          </m:sub>
                        </m:sSub>
                        <m:r>
                          <a:rPr lang="en-US" sz="1100" b="0" i="0">
                            <a:latin typeface="Cambria Math"/>
                          </a:rPr>
                          <m:t>)(</m:t>
                        </m:r>
                        <m:sSup>
                          <m:sSup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pPr>
                          <m:e>
                            <m:sSub>
                              <m:sSubPr>
                                <m:ctrlPr>
                                  <a:rPr lang="en-US" sz="11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e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m</m:t>
                                </m:r>
                              </m:sub>
                            </m:sSub>
                          </m:e>
                          <m:sup>
                            <m:r>
                              <a:rPr lang="en-US" sz="1100" b="0" i="0">
                                <a:latin typeface="Cambria Math"/>
                              </a:rPr>
                              <m:t>2</m:t>
                            </m:r>
                          </m:sup>
                        </m:sSup>
                        <m:r>
                          <a:rPr lang="en-US" sz="1100" b="0" i="0">
                            <a:latin typeface="Cambria Math"/>
                          </a:rPr>
                          <m:t>)</m:t>
                        </m:r>
                      </m:num>
                      <m:den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I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g</m:t>
                            </m:r>
                          </m:sub>
                        </m:sSub>
                      </m:den>
                    </m:f>
                    <m:r>
                      <a:rPr lang="en-US" sz="1100" b="0" i="0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en-US" sz="1100" b="0" i="1">
                            <a:latin typeface="Cambria Math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US" sz="11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M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g</m:t>
                                </m:r>
                              </m:sub>
                            </m:sSub>
                          </m:e>
                        </m:d>
                        <m:d>
                          <m:d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US" sz="11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e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m</m:t>
                                </m:r>
                              </m:sub>
                            </m:sSub>
                          </m:e>
                        </m:d>
                      </m:num>
                      <m:den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I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g</m:t>
                            </m:r>
                          </m:sub>
                        </m:sSub>
                      </m:den>
                    </m:f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17" name="TextBox 16"/>
            <xdr:cNvSpPr txBox="1"/>
          </xdr:nvSpPr>
          <xdr:spPr>
            <a:xfrm>
              <a:off x="485775" y="22698075"/>
              <a:ext cx="2552700" cy="4935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P_i/A_g +((P_i)(〖e_m〗^2))/I_g −(M_g )(e_m )/I_g 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</xdr:col>
      <xdr:colOff>123825</xdr:colOff>
      <xdr:row>111</xdr:row>
      <xdr:rowOff>0</xdr:rowOff>
    </xdr:from>
    <xdr:ext cx="1619250" cy="28732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/>
            <xdr:cNvSpPr txBox="1"/>
          </xdr:nvSpPr>
          <xdr:spPr>
            <a:xfrm>
              <a:off x="971550" y="23964900"/>
              <a:ext cx="1619250" cy="2873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j</m:t>
                        </m:r>
                      </m:sub>
                    </m:sSub>
                    <m:r>
                      <a:rPr lang="en-US" sz="1100" b="0" i="0">
                        <a:latin typeface="Cambria Math"/>
                      </a:rPr>
                      <m:t>−</m:t>
                    </m:r>
                    <m:d>
                      <m:dPr>
                        <m:ctrlPr>
                          <a:rPr lang="en-US" sz="1100" b="0" i="1">
                            <a:latin typeface="Cambria Math"/>
                            <a:ea typeface="Cambria Math"/>
                          </a:rPr>
                        </m:ctrlPr>
                      </m:dPr>
                      <m:e>
                        <m:r>
                          <a:rPr lang="en-US" sz="1100" b="0" i="0">
                            <a:latin typeface="Cambria Math"/>
                            <a:ea typeface="Cambria Math"/>
                          </a:rPr>
                          <m:t>∆</m:t>
                        </m:r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  <a:ea typeface="Cambria Math"/>
                              </a:rPr>
                              <m:t>f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  <a:ea typeface="Cambria Math"/>
                              </a:rPr>
                              <m:t>pES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/>
                            <a:ea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  <a:ea typeface="Cambria Math"/>
                              </a:rPr>
                              <m:t>A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  <a:ea typeface="Cambria Math"/>
                              </a:rPr>
                              <m:t>ps</m:t>
                            </m:r>
                          </m:sub>
                        </m:sSub>
                      </m:e>
                    </m:d>
                    <m:r>
                      <a:rPr lang="en-US" sz="1100" b="0" i="0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18" name="TextBox 17"/>
            <xdr:cNvSpPr txBox="1"/>
          </xdr:nvSpPr>
          <xdr:spPr>
            <a:xfrm>
              <a:off x="971550" y="23964900"/>
              <a:ext cx="1619250" cy="2873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P_j−</a:t>
              </a:r>
              <a:r>
                <a:rPr lang="en-US" sz="1100" b="0" i="0">
                  <a:latin typeface="Cambria Math"/>
                  <a:ea typeface="Cambria Math"/>
                </a:rPr>
                <a:t>(∆f_pES )(A_ps )=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</xdr:col>
      <xdr:colOff>76200</xdr:colOff>
      <xdr:row>112</xdr:row>
      <xdr:rowOff>0</xdr:rowOff>
    </xdr:from>
    <xdr:ext cx="914400" cy="4564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/>
            <xdr:cNvSpPr txBox="1"/>
          </xdr:nvSpPr>
          <xdr:spPr>
            <a:xfrm>
              <a:off x="923925" y="24193500"/>
              <a:ext cx="914400" cy="4564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P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i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US" sz="110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A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ps</m:t>
                            </m:r>
                          </m:sub>
                        </m:sSub>
                      </m:den>
                    </m:f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19" name="TextBox 18"/>
            <xdr:cNvSpPr txBox="1"/>
          </xdr:nvSpPr>
          <xdr:spPr>
            <a:xfrm>
              <a:off x="923925" y="24193500"/>
              <a:ext cx="914400" cy="4564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P_i/A_ps 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723900</xdr:colOff>
      <xdr:row>100</xdr:row>
      <xdr:rowOff>171450</xdr:rowOff>
    </xdr:from>
    <xdr:ext cx="1143000" cy="472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/>
            <xdr:cNvSpPr txBox="1"/>
          </xdr:nvSpPr>
          <xdr:spPr>
            <a:xfrm>
              <a:off x="723900" y="23145750"/>
              <a:ext cx="1143000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i="1">
                                <a:latin typeface="Cambria Math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110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E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ps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en-US" sz="110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E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ci</m:t>
                                </m:r>
                              </m:sub>
                            </m:sSub>
                          </m:den>
                        </m:f>
                      </m:e>
                    </m:d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f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cgp</m:t>
                            </m:r>
                          </m:sub>
                        </m:sSub>
                      </m:e>
                    </m:d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0" name="TextBox 19"/>
            <xdr:cNvSpPr txBox="1"/>
          </xdr:nvSpPr>
          <xdr:spPr>
            <a:xfrm>
              <a:off x="723900" y="23145750"/>
              <a:ext cx="1143000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(</a:t>
              </a:r>
              <a:r>
                <a:rPr lang="en-US" sz="1100" b="0" i="0">
                  <a:latin typeface="Cambria Math"/>
                </a:rPr>
                <a:t>E_ps/E_ci )(f_cgp )=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</xdr:col>
      <xdr:colOff>0</xdr:colOff>
      <xdr:row>118</xdr:row>
      <xdr:rowOff>0</xdr:rowOff>
    </xdr:from>
    <xdr:ext cx="182880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Box 20"/>
            <xdr:cNvSpPr txBox="1"/>
          </xdr:nvSpPr>
          <xdr:spPr>
            <a:xfrm>
              <a:off x="847725" y="25374600"/>
              <a:ext cx="18288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0">
                        <a:latin typeface="Cambria Math"/>
                      </a:rPr>
                      <m:t>1.45−</m:t>
                    </m:r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r>
                          <a:rPr lang="en-US" sz="1100" b="0" i="0">
                            <a:latin typeface="Cambria Math"/>
                          </a:rPr>
                          <m:t>0.13</m:t>
                        </m:r>
                      </m:e>
                    </m:d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V</m:t>
                        </m:r>
                        <m:r>
                          <a:rPr lang="en-US" sz="1100" b="0" i="0">
                            <a:latin typeface="Cambria Math"/>
                          </a:rPr>
                          <m:t>/</m:t>
                        </m:r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S</m:t>
                        </m:r>
                      </m:e>
                    </m:d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1" name="TextBox 20"/>
            <xdr:cNvSpPr txBox="1"/>
          </xdr:nvSpPr>
          <xdr:spPr>
            <a:xfrm>
              <a:off x="847725" y="25374600"/>
              <a:ext cx="18288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1.45−(0.13)(V/S)=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704850</xdr:colOff>
      <xdr:row>121</xdr:row>
      <xdr:rowOff>0</xdr:rowOff>
    </xdr:from>
    <xdr:ext cx="217170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TextBox 21"/>
            <xdr:cNvSpPr txBox="1"/>
          </xdr:nvSpPr>
          <xdr:spPr>
            <a:xfrm>
              <a:off x="704850" y="25984200"/>
              <a:ext cx="21717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0">
                        <a:latin typeface="Cambria Math"/>
                      </a:rPr>
                      <m:t>1.56−</m:t>
                    </m:r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r>
                          <a:rPr lang="en-US" sz="1100" b="0" i="0">
                            <a:latin typeface="Cambria Math"/>
                          </a:rPr>
                          <m:t>0.008</m:t>
                        </m:r>
                      </m:e>
                    </m:d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Humidity</m:t>
                        </m:r>
                        <m:r>
                          <a:rPr lang="en-US" sz="1100" b="0" i="0">
                            <a:latin typeface="Cambria Math"/>
                          </a:rPr>
                          <m:t> %</m:t>
                        </m:r>
                      </m:e>
                    </m:d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2" name="TextBox 21"/>
            <xdr:cNvSpPr txBox="1"/>
          </xdr:nvSpPr>
          <xdr:spPr>
            <a:xfrm>
              <a:off x="704850" y="25984200"/>
              <a:ext cx="21717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1.56−(0.008)(Humidity %)=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</xdr:col>
      <xdr:colOff>419099</xdr:colOff>
      <xdr:row>123</xdr:row>
      <xdr:rowOff>152400</xdr:rowOff>
    </xdr:from>
    <xdr:ext cx="1343025" cy="46641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TextBox 22"/>
            <xdr:cNvSpPr txBox="1"/>
          </xdr:nvSpPr>
          <xdr:spPr>
            <a:xfrm>
              <a:off x="1266824" y="26555700"/>
              <a:ext cx="1343025" cy="46641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/>
                          </a:rPr>
                          <m:t>5</m:t>
                        </m:r>
                      </m:num>
                      <m:den>
                        <m:r>
                          <a:rPr lang="en-US" sz="1100" b="0" i="1">
                            <a:latin typeface="Cambria Math"/>
                          </a:rPr>
                          <m:t>1+</m:t>
                        </m:r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sSup>
                              <m:sSupPr>
                                <m:ctrlPr>
                                  <a:rPr lang="en-US" sz="1100" b="0" i="1">
                                    <a:latin typeface="Cambria Math"/>
                                  </a:rPr>
                                </m:ctrlPr>
                              </m:sSupPr>
                              <m:e>
                                <m:r>
                                  <a:rPr lang="en-US" sz="1100" b="0" i="1">
                                    <a:latin typeface="Cambria Math"/>
                                  </a:rPr>
                                  <m:t>𝑓</m:t>
                                </m:r>
                              </m:e>
                              <m:sup>
                                <m:r>
                                  <a:rPr lang="en-US" sz="1100" b="0" i="1">
                                    <a:latin typeface="Cambria Math"/>
                                  </a:rPr>
                                  <m:t>∗</m:t>
                                </m:r>
                              </m:sup>
                            </m:sSup>
                          </m:e>
                          <m:sub>
                            <m:r>
                              <a:rPr lang="en-US" sz="1100" b="0" i="1">
                                <a:latin typeface="Cambria Math"/>
                              </a:rPr>
                              <m:t>𝑐𝑖</m:t>
                            </m:r>
                          </m:sub>
                        </m:sSub>
                        <m:r>
                          <a:rPr lang="en-US" sz="1100" b="0" i="1">
                            <a:latin typeface="Cambria Math"/>
                          </a:rPr>
                          <m:t>/1000</m:t>
                        </m:r>
                      </m:den>
                    </m:f>
                    <m:r>
                      <a:rPr lang="en-US" sz="11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3" name="TextBox 22"/>
            <xdr:cNvSpPr txBox="1"/>
          </xdr:nvSpPr>
          <xdr:spPr>
            <a:xfrm>
              <a:off x="1266824" y="26555700"/>
              <a:ext cx="1343025" cy="46641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5/(1+〖𝑓^∗〗_𝑐𝑖/1000)=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581024</xdr:colOff>
      <xdr:row>128</xdr:row>
      <xdr:rowOff>0</xdr:rowOff>
    </xdr:from>
    <xdr:ext cx="2676526" cy="47538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TextBox 23"/>
            <xdr:cNvSpPr txBox="1"/>
          </xdr:nvSpPr>
          <xdr:spPr>
            <a:xfrm>
              <a:off x="581024" y="27393900"/>
              <a:ext cx="2676526" cy="4753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/>
                          </a:rPr>
                          <m:t>28−1</m:t>
                        </m:r>
                      </m:num>
                      <m:den>
                        <m:r>
                          <a:rPr lang="en-US" sz="1100" b="0" i="1">
                            <a:latin typeface="Cambria Math"/>
                          </a:rPr>
                          <m:t>61−</m:t>
                        </m:r>
                        <m:d>
                          <m:d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4</m:t>
                            </m:r>
                          </m:e>
                        </m:d>
                        <m:d>
                          <m:d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US" sz="11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sSup>
                                  <m:sSupPr>
                                    <m:ctrlPr>
                                      <a:rPr lang="en-US" sz="1100" b="0" i="1">
                                        <a:latin typeface="Cambria Math"/>
                                      </a:rPr>
                                    </m:ctrlPr>
                                  </m:sSupPr>
                                  <m:e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𝑓</m:t>
                                    </m:r>
                                  </m:e>
                                  <m:sup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∗</m:t>
                                    </m:r>
                                  </m:sup>
                                </m:sSup>
                              </m:e>
                              <m:sub>
                                <m:r>
                                  <a:rPr lang="en-US" sz="1100" b="0" i="1">
                                    <a:latin typeface="Cambria Math"/>
                                  </a:rPr>
                                  <m:t>𝑐𝑖</m:t>
                                </m:r>
                              </m:sub>
                            </m:sSub>
                            <m:r>
                              <a:rPr lang="en-US" sz="1100" b="0" i="1">
                                <a:latin typeface="Cambria Math"/>
                              </a:rPr>
                              <m:t>/1000</m:t>
                            </m:r>
                          </m:e>
                        </m:d>
                        <m:r>
                          <a:rPr lang="en-US" sz="1100" b="0" i="1">
                            <a:latin typeface="Cambria Math"/>
                          </a:rPr>
                          <m:t>+(28−1)</m:t>
                        </m:r>
                      </m:den>
                    </m:f>
                    <m:r>
                      <a:rPr lang="en-US" sz="11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4" name="TextBox 23"/>
            <xdr:cNvSpPr txBox="1"/>
          </xdr:nvSpPr>
          <xdr:spPr>
            <a:xfrm>
              <a:off x="581024" y="27393900"/>
              <a:ext cx="2676526" cy="4753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(</a:t>
              </a:r>
              <a:r>
                <a:rPr lang="en-US" sz="1100" b="0" i="0">
                  <a:latin typeface="Cambria Math"/>
                </a:rPr>
                <a:t>28−1)/(61−(4)(〖𝑓^∗〗_𝑐𝑖/1000)+(28−1))=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685799</xdr:colOff>
      <xdr:row>132</xdr:row>
      <xdr:rowOff>9525</xdr:rowOff>
    </xdr:from>
    <xdr:ext cx="2419351" cy="2677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TextBox 24"/>
            <xdr:cNvSpPr txBox="1"/>
          </xdr:nvSpPr>
          <xdr:spPr>
            <a:xfrm>
              <a:off x="685799" y="28203525"/>
              <a:ext cx="2419351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r>
                          <a:rPr lang="en-US" sz="1100" b="0" i="0">
                            <a:latin typeface="Cambria Math"/>
                          </a:rPr>
                          <m:t>1.9</m:t>
                        </m:r>
                      </m:e>
                    </m:d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k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s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k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hc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k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f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k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td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sSup>
                          <m:sSup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pPr>
                          <m:e>
                            <m:r>
                              <a:rPr lang="en-US" sz="1100" b="0" i="0">
                                <a:latin typeface="Cambria Math"/>
                              </a:rPr>
                              <m:t>1</m:t>
                            </m:r>
                          </m:e>
                          <m:sup>
                            <m:r>
                              <a:rPr lang="en-US" sz="1100" b="0" i="0">
                                <a:latin typeface="Cambria Math"/>
                              </a:rPr>
                              <m:t>−0.118</m:t>
                            </m:r>
                          </m:sup>
                        </m:sSup>
                      </m:e>
                    </m:d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5" name="TextBox 24"/>
            <xdr:cNvSpPr txBox="1"/>
          </xdr:nvSpPr>
          <xdr:spPr>
            <a:xfrm>
              <a:off x="685799" y="28203525"/>
              <a:ext cx="2419351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(1.9)(k_s )(k_hc )(k_f )(k_td )(1^(−0.118) )=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619125</xdr:colOff>
      <xdr:row>134</xdr:row>
      <xdr:rowOff>171450</xdr:rowOff>
    </xdr:from>
    <xdr:ext cx="2676526" cy="47538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TextBox 25"/>
            <xdr:cNvSpPr txBox="1"/>
          </xdr:nvSpPr>
          <xdr:spPr>
            <a:xfrm>
              <a:off x="619125" y="28784550"/>
              <a:ext cx="2676526" cy="4753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/>
                          </a:rPr>
                          <m:t>365−1</m:t>
                        </m:r>
                      </m:num>
                      <m:den>
                        <m:r>
                          <a:rPr lang="en-US" sz="1100" b="0" i="1">
                            <a:latin typeface="Cambria Math"/>
                          </a:rPr>
                          <m:t>61−</m:t>
                        </m:r>
                        <m:d>
                          <m:d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4</m:t>
                            </m:r>
                          </m:e>
                        </m:d>
                        <m:d>
                          <m:d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US" sz="11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sSup>
                                  <m:sSupPr>
                                    <m:ctrlPr>
                                      <a:rPr lang="en-US" sz="1100" b="0" i="1">
                                        <a:latin typeface="Cambria Math"/>
                                      </a:rPr>
                                    </m:ctrlPr>
                                  </m:sSupPr>
                                  <m:e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𝑓</m:t>
                                    </m:r>
                                  </m:e>
                                  <m:sup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∗</m:t>
                                    </m:r>
                                  </m:sup>
                                </m:sSup>
                              </m:e>
                              <m:sub>
                                <m:r>
                                  <a:rPr lang="en-US" sz="1100" b="0" i="1">
                                    <a:latin typeface="Cambria Math"/>
                                  </a:rPr>
                                  <m:t>𝑐𝑖</m:t>
                                </m:r>
                              </m:sub>
                            </m:sSub>
                            <m:r>
                              <a:rPr lang="en-US" sz="1100" b="0" i="1">
                                <a:latin typeface="Cambria Math"/>
                              </a:rPr>
                              <m:t>/1000</m:t>
                            </m:r>
                          </m:e>
                        </m:d>
                        <m:r>
                          <a:rPr lang="en-US" sz="1100" b="0" i="1">
                            <a:latin typeface="Cambria Math"/>
                          </a:rPr>
                          <m:t>+(365−1)</m:t>
                        </m:r>
                      </m:den>
                    </m:f>
                    <m:r>
                      <a:rPr lang="en-US" sz="11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6" name="TextBox 25"/>
            <xdr:cNvSpPr txBox="1"/>
          </xdr:nvSpPr>
          <xdr:spPr>
            <a:xfrm>
              <a:off x="619125" y="28784550"/>
              <a:ext cx="2676526" cy="4753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(</a:t>
              </a:r>
              <a:r>
                <a:rPr lang="en-US" sz="1100" b="0" i="0">
                  <a:latin typeface="Cambria Math"/>
                </a:rPr>
                <a:t>365−1)/(61−(4)(〖𝑓^∗〗_𝑐𝑖/1000)+(365−1))=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714375</xdr:colOff>
      <xdr:row>139</xdr:row>
      <xdr:rowOff>0</xdr:rowOff>
    </xdr:from>
    <xdr:ext cx="2419351" cy="2677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TextBox 26"/>
            <xdr:cNvSpPr txBox="1"/>
          </xdr:nvSpPr>
          <xdr:spPr>
            <a:xfrm>
              <a:off x="714375" y="29603700"/>
              <a:ext cx="2419351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r>
                          <a:rPr lang="en-US" sz="1100" b="0" i="0">
                            <a:latin typeface="Cambria Math"/>
                          </a:rPr>
                          <m:t>1.9</m:t>
                        </m:r>
                      </m:e>
                    </m:d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k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s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k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hc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k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f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k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td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sSup>
                          <m:sSup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pPr>
                          <m:e>
                            <m:r>
                              <a:rPr lang="en-US" sz="1100" b="0" i="0">
                                <a:latin typeface="Cambria Math"/>
                              </a:rPr>
                              <m:t>1</m:t>
                            </m:r>
                          </m:e>
                          <m:sup>
                            <m:r>
                              <a:rPr lang="en-US" sz="1100" b="0" i="0">
                                <a:latin typeface="Cambria Math"/>
                              </a:rPr>
                              <m:t>−0.118</m:t>
                            </m:r>
                          </m:sup>
                        </m:sSup>
                      </m:e>
                    </m:d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7" name="TextBox 26"/>
            <xdr:cNvSpPr txBox="1"/>
          </xdr:nvSpPr>
          <xdr:spPr>
            <a:xfrm>
              <a:off x="714375" y="29603700"/>
              <a:ext cx="2419351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(1.9)(k_s )(k_hc )(k_f )(k_td )(1^(−0.118) )=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638175</xdr:colOff>
      <xdr:row>141</xdr:row>
      <xdr:rowOff>171450</xdr:rowOff>
    </xdr:from>
    <xdr:ext cx="2638425" cy="6612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TextBox 27"/>
            <xdr:cNvSpPr txBox="1"/>
          </xdr:nvSpPr>
          <xdr:spPr>
            <a:xfrm>
              <a:off x="638175" y="30194250"/>
              <a:ext cx="2638425" cy="6612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/>
                          </a:rPr>
                          <m:t>(5)(365)−1</m:t>
                        </m:r>
                      </m:num>
                      <m:den>
                        <m:r>
                          <a:rPr lang="en-US" sz="1100" b="0" i="1">
                            <a:latin typeface="Cambria Math"/>
                          </a:rPr>
                          <m:t>61−</m:t>
                        </m:r>
                        <m:d>
                          <m:d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4</m:t>
                            </m:r>
                          </m:e>
                        </m:d>
                        <m:d>
                          <m:d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US" sz="1100" b="0" i="1">
                                    <a:latin typeface="Cambria Math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n-US" sz="1100" b="0" i="1">
                                        <a:latin typeface="Cambria Math"/>
                                      </a:rPr>
                                    </m:ctrlPr>
                                  </m:sSubPr>
                                  <m:e>
                                    <m:sSup>
                                      <m:sSupPr>
                                        <m:ctrlPr>
                                          <a:rPr lang="en-US" sz="1100" b="0" i="1">
                                            <a:latin typeface="Cambria Math"/>
                                          </a:rPr>
                                        </m:ctrlPr>
                                      </m:sSupPr>
                                      <m:e>
                                        <m:r>
                                          <a:rPr lang="en-US" sz="1100" b="0" i="1">
                                            <a:latin typeface="Cambria Math"/>
                                          </a:rPr>
                                          <m:t>𝑓</m:t>
                                        </m:r>
                                      </m:e>
                                      <m:sup>
                                        <m:r>
                                          <a:rPr lang="en-US" sz="1100" b="0" i="1">
                                            <a:latin typeface="Cambria Math"/>
                                          </a:rPr>
                                          <m:t>∗</m:t>
                                        </m:r>
                                      </m:sup>
                                    </m:sSup>
                                  </m:e>
                                  <m:sub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𝑐𝑖</m:t>
                                    </m:r>
                                  </m:sub>
                                </m:sSub>
                              </m:num>
                              <m:den>
                                <m:r>
                                  <a:rPr lang="en-US" sz="1100" b="0" i="1">
                                    <a:latin typeface="Cambria Math"/>
                                  </a:rPr>
                                  <m:t>1000</m:t>
                                </m:r>
                              </m:den>
                            </m:f>
                          </m:e>
                        </m:d>
                        <m:r>
                          <a:rPr lang="en-US" sz="1100" b="0" i="1">
                            <a:latin typeface="Cambria Math"/>
                          </a:rPr>
                          <m:t>+((5)(365)−1)</m:t>
                        </m:r>
                      </m:den>
                    </m:f>
                    <m:r>
                      <a:rPr lang="en-US" sz="11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8" name="TextBox 27"/>
            <xdr:cNvSpPr txBox="1"/>
          </xdr:nvSpPr>
          <xdr:spPr>
            <a:xfrm>
              <a:off x="638175" y="30194250"/>
              <a:ext cx="2638425" cy="6612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(</a:t>
              </a:r>
              <a:r>
                <a:rPr lang="en-US" sz="1100" b="0" i="0">
                  <a:latin typeface="Cambria Math"/>
                </a:rPr>
                <a:t>(5)(365)−1)/(61−(4)(〖𝑓^∗〗_𝑐𝑖/1000)+((5)(365)−1))=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704850</xdr:colOff>
      <xdr:row>146</xdr:row>
      <xdr:rowOff>180975</xdr:rowOff>
    </xdr:from>
    <xdr:ext cx="2419351" cy="2677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TextBox 28"/>
            <xdr:cNvSpPr txBox="1"/>
          </xdr:nvSpPr>
          <xdr:spPr>
            <a:xfrm>
              <a:off x="704850" y="31003875"/>
              <a:ext cx="2419351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r>
                          <a:rPr lang="en-US" sz="1100" b="0" i="0">
                            <a:latin typeface="Cambria Math"/>
                          </a:rPr>
                          <m:t>1.9</m:t>
                        </m:r>
                      </m:e>
                    </m:d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k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s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k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hc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k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f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k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td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sSup>
                          <m:sSup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pPr>
                          <m:e>
                            <m:r>
                              <a:rPr lang="en-US" sz="1100" b="0" i="0">
                                <a:latin typeface="Cambria Math"/>
                              </a:rPr>
                              <m:t>1</m:t>
                            </m:r>
                          </m:e>
                          <m:sup>
                            <m:r>
                              <a:rPr lang="en-US" sz="1100" b="0" i="0">
                                <a:latin typeface="Cambria Math"/>
                              </a:rPr>
                              <m:t>−0.118</m:t>
                            </m:r>
                          </m:sup>
                        </m:sSup>
                      </m:e>
                    </m:d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9" name="TextBox 28"/>
            <xdr:cNvSpPr txBox="1"/>
          </xdr:nvSpPr>
          <xdr:spPr>
            <a:xfrm>
              <a:off x="704850" y="31003875"/>
              <a:ext cx="2419351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(1.9)(k_s )(k_hc )(k_f )(k_td )(1^(−0.118) )=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752474</xdr:colOff>
      <xdr:row>149</xdr:row>
      <xdr:rowOff>152400</xdr:rowOff>
    </xdr:from>
    <xdr:ext cx="1762125" cy="26552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TextBox 29"/>
            <xdr:cNvSpPr txBox="1"/>
          </xdr:nvSpPr>
          <xdr:spPr>
            <a:xfrm>
              <a:off x="752474" y="31584900"/>
              <a:ext cx="1762125" cy="2655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n-US" sz="1100" b="0" i="0" baseline="0">
                        <a:latin typeface="Symbol" panose="05050102010706020507" pitchFamily="18" charset="2"/>
                      </a:rPr>
                      <m:t>y</m:t>
                    </m:r>
                    <m:d>
                      <m:dPr>
                        <m:ctrlPr>
                          <a:rPr lang="en-US" sz="1100" b="0" i="1" baseline="0">
                            <a:latin typeface="Cambria Math"/>
                          </a:rPr>
                        </m:ctrlPr>
                      </m:dPr>
                      <m:e>
                        <m:r>
                          <a:rPr lang="en-US" sz="1100" b="0" i="0" baseline="0">
                            <a:latin typeface="Cambria Math"/>
                          </a:rPr>
                          <m:t>365,</m:t>
                        </m:r>
                        <m:sSub>
                          <m:sSubPr>
                            <m:ctrlPr>
                              <a:rPr lang="en-US" sz="1100" b="0" i="1" baseline="0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 baseline="0">
                                <a:latin typeface="Cambria Math"/>
                              </a:rPr>
                              <m:t>t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 baseline="0">
                                <a:latin typeface="Cambria Math"/>
                              </a:rPr>
                              <m:t>i</m:t>
                            </m:r>
                          </m:sub>
                        </m:sSub>
                      </m:e>
                    </m:d>
                    <m:r>
                      <a:rPr lang="en-US" sz="1100" b="0" i="0" baseline="0">
                        <a:latin typeface="Cambria Math"/>
                      </a:rPr>
                      <m:t>−</m:t>
                    </m:r>
                    <m:r>
                      <m:rPr>
                        <m:nor/>
                      </m:rPr>
                      <a:rPr lang="en-US" sz="1100" b="0" i="0" baseline="0">
                        <a:solidFill>
                          <a:schemeClr val="tx1"/>
                        </a:solidFill>
                        <a:effectLst/>
                        <a:latin typeface="Symbol" panose="05050102010706020507" pitchFamily="18" charset="2"/>
                        <a:ea typeface="+mn-ea"/>
                        <a:cs typeface="+mn-cs"/>
                      </a:rPr>
                      <m:t>y</m:t>
                    </m:r>
                    <m:d>
                      <m:dPr>
                        <m:ctrlPr>
                          <a:rPr lang="en-US" sz="1100" b="0" i="1" baseline="0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n-US" sz="1100" b="0" i="0" baseline="0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28,</m:t>
                        </m:r>
                        <m:sSub>
                          <m:sSubPr>
                            <m:ctrlPr>
                              <a:rPr lang="en-US" sz="1100" b="0" i="1" baseline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 baseline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t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 baseline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i</m:t>
                            </m:r>
                          </m:sub>
                        </m:sSub>
                      </m:e>
                    </m:d>
                    <m:r>
                      <a:rPr lang="en-US" sz="1100" b="0" i="0" baseline="0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</m:oMath>
                </m:oMathPara>
              </a14:m>
              <a:endParaRPr lang="en-US" sz="1100" i="0" baseline="0">
                <a:latin typeface="Symbol" panose="05050102010706020507" pitchFamily="18" charset="2"/>
              </a:endParaRPr>
            </a:p>
          </xdr:txBody>
        </xdr:sp>
      </mc:Choice>
      <mc:Fallback xmlns="">
        <xdr:sp macro="" textlink="">
          <xdr:nvSpPr>
            <xdr:cNvPr id="30" name="TextBox 29"/>
            <xdr:cNvSpPr txBox="1"/>
          </xdr:nvSpPr>
          <xdr:spPr>
            <a:xfrm>
              <a:off x="752474" y="31584900"/>
              <a:ext cx="1762125" cy="2655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 baseline="0">
                  <a:latin typeface="Cambria Math"/>
                </a:rPr>
                <a:t>"y" (365,t_i )−</a:t>
              </a:r>
              <a:r>
                <a:rPr lang="en-US" sz="1100" b="0" i="0" baseline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"y" (28,t_i )=</a:t>
              </a:r>
              <a:endParaRPr lang="en-US" sz="1100" i="0" baseline="0">
                <a:latin typeface="Symbol" panose="05050102010706020507" pitchFamily="18" charset="2"/>
              </a:endParaRPr>
            </a:p>
          </xdr:txBody>
        </xdr:sp>
      </mc:Fallback>
    </mc:AlternateContent>
    <xdr:clientData/>
  </xdr:oneCellAnchor>
  <xdr:oneCellAnchor>
    <xdr:from>
      <xdr:col>1</xdr:col>
      <xdr:colOff>28574</xdr:colOff>
      <xdr:row>155</xdr:row>
      <xdr:rowOff>0</xdr:rowOff>
    </xdr:from>
    <xdr:ext cx="2219325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TextBox 30"/>
            <xdr:cNvSpPr txBox="1"/>
          </xdr:nvSpPr>
          <xdr:spPr>
            <a:xfrm>
              <a:off x="876299" y="31899225"/>
              <a:ext cx="2219325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0">
                        <a:latin typeface="Cambria Math"/>
                      </a:rPr>
                      <m:t>2.00−</m:t>
                    </m:r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r>
                          <a:rPr lang="en-US" sz="1100" b="0" i="0">
                            <a:latin typeface="Cambria Math"/>
                          </a:rPr>
                          <m:t>0.014</m:t>
                        </m:r>
                      </m:e>
                    </m:d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Humidity</m:t>
                        </m:r>
                        <m:r>
                          <a:rPr lang="en-US" sz="1100" b="0" i="0">
                            <a:latin typeface="Cambria Math"/>
                          </a:rPr>
                          <m:t> %</m:t>
                        </m:r>
                      </m:e>
                    </m:d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1" name="TextBox 30"/>
            <xdr:cNvSpPr txBox="1"/>
          </xdr:nvSpPr>
          <xdr:spPr>
            <a:xfrm>
              <a:off x="876299" y="31899225"/>
              <a:ext cx="2219325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2.00−(0.014)(Humidity %)=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628650</xdr:colOff>
      <xdr:row>165</xdr:row>
      <xdr:rowOff>9525</xdr:rowOff>
    </xdr:from>
    <xdr:ext cx="2419351" cy="2677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TextBox 31"/>
            <xdr:cNvSpPr txBox="1"/>
          </xdr:nvSpPr>
          <xdr:spPr>
            <a:xfrm>
              <a:off x="628650" y="34337625"/>
              <a:ext cx="2419351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k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s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k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hs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k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f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k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td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sSup>
                          <m:sSup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pPr>
                          <m:e>
                            <m:r>
                              <a:rPr lang="en-US" sz="1100" b="0" i="0">
                                <a:latin typeface="Cambria Math"/>
                              </a:rPr>
                              <m:t>0.48</m:t>
                            </m:r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x</m:t>
                            </m:r>
                            <m:r>
                              <a:rPr lang="en-US" sz="1100" b="0" i="0">
                                <a:latin typeface="Cambria Math"/>
                              </a:rPr>
                              <m:t>10</m:t>
                            </m:r>
                          </m:e>
                          <m:sup>
                            <m:r>
                              <a:rPr lang="en-US" sz="1100" b="0" i="0">
                                <a:latin typeface="Cambria Math"/>
                              </a:rPr>
                              <m:t>−3</m:t>
                            </m:r>
                          </m:sup>
                        </m:sSup>
                      </m:e>
                    </m:d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2" name="TextBox 31"/>
            <xdr:cNvSpPr txBox="1"/>
          </xdr:nvSpPr>
          <xdr:spPr>
            <a:xfrm>
              <a:off x="628650" y="34337625"/>
              <a:ext cx="2419351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(k_s )(k_hs )(k_f )(k_td )(〖0.48x10〗^(−3) )=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619125</xdr:colOff>
      <xdr:row>168</xdr:row>
      <xdr:rowOff>0</xdr:rowOff>
    </xdr:from>
    <xdr:ext cx="2419351" cy="2677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TextBox 32"/>
            <xdr:cNvSpPr txBox="1"/>
          </xdr:nvSpPr>
          <xdr:spPr>
            <a:xfrm>
              <a:off x="619125" y="34937700"/>
              <a:ext cx="2419351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k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s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k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hs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k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f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k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td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sSup>
                          <m:sSup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pPr>
                          <m:e>
                            <m:r>
                              <a:rPr lang="en-US" sz="1100" b="0" i="0">
                                <a:latin typeface="Cambria Math"/>
                              </a:rPr>
                              <m:t>0.48</m:t>
                            </m:r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x</m:t>
                            </m:r>
                            <m:r>
                              <a:rPr lang="en-US" sz="1100" b="0" i="0">
                                <a:latin typeface="Cambria Math"/>
                              </a:rPr>
                              <m:t>10</m:t>
                            </m:r>
                          </m:e>
                          <m:sup>
                            <m:r>
                              <a:rPr lang="en-US" sz="1100" b="0" i="0">
                                <a:latin typeface="Cambria Math"/>
                              </a:rPr>
                              <m:t>−3</m:t>
                            </m:r>
                          </m:sup>
                        </m:sSup>
                      </m:e>
                    </m:d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3" name="TextBox 32"/>
            <xdr:cNvSpPr txBox="1"/>
          </xdr:nvSpPr>
          <xdr:spPr>
            <a:xfrm>
              <a:off x="619125" y="34937700"/>
              <a:ext cx="2419351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(k_s )(k_hs )(k_f )(k_td )(〖0.48x10〗^(−3) )=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581024</xdr:colOff>
      <xdr:row>172</xdr:row>
      <xdr:rowOff>104775</xdr:rowOff>
    </xdr:from>
    <xdr:ext cx="3381375" cy="6567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TextBox 33"/>
            <xdr:cNvSpPr txBox="1"/>
          </xdr:nvSpPr>
          <xdr:spPr>
            <a:xfrm>
              <a:off x="581024" y="35842575"/>
              <a:ext cx="3381375" cy="6567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lang="en-US" sz="1100" b="0" i="1">
                            <a:latin typeface="Cambria Math"/>
                          </a:rPr>
                          <m:t>1+</m:t>
                        </m:r>
                        <m:d>
                          <m:d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US" sz="1100" b="0" i="1">
                                    <a:latin typeface="Cambria Math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n-US" sz="1100" b="0" i="1">
                                        <a:latin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𝐸</m:t>
                                    </m:r>
                                  </m:e>
                                  <m:sub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𝑝𝑠</m:t>
                                    </m:r>
                                  </m:sub>
                                </m:sSub>
                                <m:sSub>
                                  <m:sSubPr>
                                    <m:ctrlPr>
                                      <a:rPr lang="en-US" sz="1100" b="0" i="1">
                                        <a:latin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𝐴</m:t>
                                    </m:r>
                                  </m:e>
                                  <m:sub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𝑝𝑠</m:t>
                                    </m:r>
                                  </m:sub>
                                </m:sSub>
                              </m:num>
                              <m:den>
                                <m:sSub>
                                  <m:sSubPr>
                                    <m:ctrlPr>
                                      <a:rPr lang="en-US" sz="1100" b="0" i="1">
                                        <a:latin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𝐸</m:t>
                                    </m:r>
                                  </m:e>
                                  <m:sub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𝑐𝑖</m:t>
                                    </m:r>
                                  </m:sub>
                                </m:sSub>
                                <m:sSub>
                                  <m:sSubPr>
                                    <m:ctrlPr>
                                      <a:rPr lang="en-US" sz="1100" b="0" i="1">
                                        <a:latin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𝐴</m:t>
                                    </m:r>
                                  </m:e>
                                  <m:sub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𝑔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  <m:d>
                          <m:d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US" sz="1100" b="0" i="1">
                                    <a:latin typeface="Cambria Math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n-US" sz="1100" b="0" i="1">
                                        <a:latin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𝐴</m:t>
                                    </m:r>
                                  </m:e>
                                  <m:sub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𝑔</m:t>
                                    </m:r>
                                  </m:sub>
                                </m:sSub>
                                <m:sSup>
                                  <m:sSupPr>
                                    <m:ctrlPr>
                                      <a:rPr lang="en-US" sz="1100" b="0" i="1">
                                        <a:latin typeface="Cambria Math"/>
                                      </a:rPr>
                                    </m:ctrlPr>
                                  </m:sSupPr>
                                  <m:e>
                                    <m:sSub>
                                      <m:sSubPr>
                                        <m:ctrlPr>
                                          <a:rPr lang="en-US" sz="1100" b="0" i="1">
                                            <a:latin typeface="Cambria Math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sz="1100" b="0" i="1">
                                            <a:latin typeface="Cambria Math"/>
                                          </a:rPr>
                                          <m:t>𝑒</m:t>
                                        </m:r>
                                      </m:e>
                                      <m:sub>
                                        <m:r>
                                          <a:rPr lang="en-US" sz="1100" b="0" i="1">
                                            <a:latin typeface="Cambria Math"/>
                                          </a:rPr>
                                          <m:t>𝑚</m:t>
                                        </m:r>
                                      </m:sub>
                                    </m:sSub>
                                  </m:e>
                                  <m:sup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2</m:t>
                                    </m:r>
                                  </m:sup>
                                </m:sSup>
                              </m:num>
                              <m:den>
                                <m:sSub>
                                  <m:sSubPr>
                                    <m:ctrlPr>
                                      <a:rPr lang="en-US" sz="1100" b="0" i="1">
                                        <a:latin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𝐼</m:t>
                                    </m:r>
                                  </m:e>
                                  <m:sub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𝑔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  <m:d>
                          <m:d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1+0.7</m:t>
                            </m:r>
                            <m:r>
                              <m:rPr>
                                <m:nor/>
                              </m:rPr>
                              <a:rPr lang="en-US" sz="1100" b="0" i="0" baseline="0">
                                <a:latin typeface="Symbol" panose="05050102010706020507" pitchFamily="18" charset="2"/>
                              </a:rPr>
                              <m:t>y</m:t>
                            </m:r>
                            <m:r>
                              <a:rPr lang="en-US" sz="1100" b="0" i="1" baseline="0">
                                <a:latin typeface="Cambria Math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en-US" sz="1100" b="0" i="1" baseline="0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 baseline="0">
                                    <a:latin typeface="Cambria Math"/>
                                  </a:rPr>
                                  <m:t>𝑡</m:t>
                                </m:r>
                              </m:e>
                              <m:sub>
                                <m:r>
                                  <a:rPr lang="en-US" sz="1100" b="0" i="1" baseline="0">
                                    <a:latin typeface="Cambria Math"/>
                                  </a:rPr>
                                  <m:t>𝑓</m:t>
                                </m:r>
                              </m:sub>
                            </m:sSub>
                            <m:r>
                              <a:rPr lang="en-US" sz="1100" b="0" i="1" baseline="0">
                                <a:latin typeface="Cambria Math"/>
                              </a:rPr>
                              <m:t>,</m:t>
                            </m:r>
                            <m:sSub>
                              <m:sSubPr>
                                <m:ctrlPr>
                                  <a:rPr lang="en-US" sz="1100" b="0" i="1" baseline="0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 baseline="0">
                                    <a:latin typeface="Cambria Math"/>
                                  </a:rPr>
                                  <m:t>𝑡</m:t>
                                </m:r>
                              </m:e>
                              <m:sub>
                                <m:r>
                                  <a:rPr lang="en-US" sz="1100" b="0" i="1" baseline="0">
                                    <a:latin typeface="Cambria Math"/>
                                  </a:rPr>
                                  <m:t>𝑖</m:t>
                                </m:r>
                              </m:sub>
                            </m:sSub>
                            <m:r>
                              <a:rPr lang="en-US" sz="1100" b="0" i="1" baseline="0">
                                <a:latin typeface="Cambria Math"/>
                              </a:rPr>
                              <m:t>)</m:t>
                            </m:r>
                          </m:e>
                        </m:d>
                      </m:den>
                    </m:f>
                    <m:r>
                      <a:rPr lang="en-US" sz="11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4" name="TextBox 33"/>
            <xdr:cNvSpPr txBox="1"/>
          </xdr:nvSpPr>
          <xdr:spPr>
            <a:xfrm>
              <a:off x="581024" y="35842575"/>
              <a:ext cx="3381375" cy="6567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1/(1+((𝐸_𝑝𝑠 𝐴_𝑝𝑠)/(𝐸_𝑐𝑖 𝐴_𝑔 ))(1+(𝐴_𝑔 〖𝑒_𝑚〗^2)/𝐼_𝑔 )(1+0.7</a:t>
              </a:r>
              <a:r>
                <a:rPr lang="en-US" sz="1100" b="0" i="0" baseline="0">
                  <a:latin typeface="Cambria Math"/>
                </a:rPr>
                <a:t>"</a:t>
              </a:r>
              <a:r>
                <a:rPr lang="en-US" sz="1100" b="0" i="0" baseline="0">
                  <a:latin typeface="Symbol" panose="05050102010706020507" pitchFamily="18" charset="2"/>
                </a:rPr>
                <a:t>y</a:t>
              </a:r>
              <a:r>
                <a:rPr lang="en-US" sz="1100" b="0" i="0" baseline="0">
                  <a:latin typeface="Cambria Math"/>
                </a:rPr>
                <a:t>" (𝑡_𝑓,𝑡_𝑖)) )</a:t>
              </a:r>
              <a:r>
                <a:rPr lang="en-US" sz="1100" b="0" i="0">
                  <a:latin typeface="Cambria Math"/>
                </a:rPr>
                <a:t>=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333374</xdr:colOff>
      <xdr:row>177</xdr:row>
      <xdr:rowOff>180975</xdr:rowOff>
    </xdr:from>
    <xdr:ext cx="1381125" cy="28674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TextBox 34"/>
            <xdr:cNvSpPr txBox="1"/>
          </xdr:nvSpPr>
          <xdr:spPr>
            <a:xfrm>
              <a:off x="1181099" y="36909375"/>
              <a:ext cx="1381125" cy="2867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nor/>
                              </m:rPr>
                              <a:rPr lang="en-US" sz="1100" b="0" i="0" baseline="0">
                                <a:latin typeface="Symbol" panose="05050102010706020507" pitchFamily="18" charset="2"/>
                              </a:rPr>
                              <m:t>e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/>
                              </a:rPr>
                              <m:t>𝑏𝑖𝑑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𝐸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/>
                              </a:rPr>
                              <m:t>𝑝𝑠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𝐾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/>
                              </a:rPr>
                              <m:t>𝑖𝑑</m:t>
                            </m:r>
                          </m:sub>
                        </m:sSub>
                      </m:e>
                    </m:d>
                    <m:r>
                      <a:rPr lang="en-US" sz="11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5" name="TextBox 34"/>
            <xdr:cNvSpPr txBox="1"/>
          </xdr:nvSpPr>
          <xdr:spPr>
            <a:xfrm>
              <a:off x="1181099" y="36909375"/>
              <a:ext cx="1381125" cy="2867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(</a:t>
              </a:r>
              <a:r>
                <a:rPr lang="en-US" sz="1100" b="0" i="0" baseline="0">
                  <a:latin typeface="Cambria Math"/>
                </a:rPr>
                <a:t>"</a:t>
              </a:r>
              <a:r>
                <a:rPr lang="en-US" sz="1100" b="0" i="0" baseline="0">
                  <a:latin typeface="Symbol" panose="05050102010706020507" pitchFamily="18" charset="2"/>
                </a:rPr>
                <a:t>e</a:t>
              </a:r>
              <a:r>
                <a:rPr lang="en-US" sz="1100" b="0" i="0" baseline="0">
                  <a:latin typeface="Cambria Math"/>
                </a:rPr>
                <a:t>" _</a:t>
              </a:r>
              <a:r>
                <a:rPr lang="en-US" sz="1100" b="0" i="0">
                  <a:latin typeface="Cambria Math"/>
                </a:rPr>
                <a:t>𝑏𝑖𝑑 )(𝐸_𝑝𝑠 )(𝐾_𝑖𝑑 )=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771524</xdr:colOff>
      <xdr:row>181</xdr:row>
      <xdr:rowOff>95250</xdr:rowOff>
    </xdr:from>
    <xdr:ext cx="2066925" cy="472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TextBox 35"/>
            <xdr:cNvSpPr txBox="1"/>
          </xdr:nvSpPr>
          <xdr:spPr>
            <a:xfrm>
              <a:off x="771524" y="37623750"/>
              <a:ext cx="2066925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i="1">
                                <a:latin typeface="Cambria Math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110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latin typeface="Cambria Math"/>
                                  </a:rPr>
                                  <m:t>𝐸</m:t>
                                </m:r>
                              </m:e>
                              <m:sub>
                                <m:r>
                                  <a:rPr lang="en-US" sz="1100" b="0" i="1">
                                    <a:latin typeface="Cambria Math"/>
                                  </a:rPr>
                                  <m:t>𝑝𝑠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en-US" sz="110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latin typeface="Cambria Math"/>
                                  </a:rPr>
                                  <m:t>𝐸</m:t>
                                </m:r>
                              </m:e>
                              <m:sub>
                                <m:r>
                                  <a:rPr lang="en-US" sz="1100" b="0" i="1">
                                    <a:latin typeface="Cambria Math"/>
                                  </a:rPr>
                                  <m:t>𝑐𝑖</m:t>
                                </m:r>
                              </m:sub>
                            </m:sSub>
                          </m:den>
                        </m:f>
                      </m:e>
                    </m:d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𝑓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/>
                              </a:rPr>
                              <m:t>𝑐𝑔𝑝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r>
                          <m:rPr>
                            <m:nor/>
                          </m:rPr>
                          <a:rPr lang="en-US" sz="1100" b="0" i="0" baseline="0">
                            <a:latin typeface="Symbol" panose="05050102010706020507" pitchFamily="18" charset="2"/>
                          </a:rPr>
                          <m:t>y</m:t>
                        </m:r>
                        <m:d>
                          <m:d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28,</m:t>
                            </m:r>
                            <m:sSub>
                              <m:sSubPr>
                                <m:ctrlPr>
                                  <a:rPr lang="en-US" sz="11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latin typeface="Cambria Math"/>
                                  </a:rPr>
                                  <m:t>𝑡</m:t>
                                </m:r>
                              </m:e>
                              <m:sub>
                                <m:r>
                                  <a:rPr lang="en-US" sz="1100" b="0" i="1">
                                    <a:latin typeface="Cambria Math"/>
                                  </a:rPr>
                                  <m:t>𝑖</m:t>
                                </m:r>
                              </m:sub>
                            </m:sSub>
                          </m:e>
                        </m:d>
                      </m:e>
                    </m:d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𝐾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/>
                              </a:rPr>
                              <m:t>𝑖𝑑</m:t>
                            </m:r>
                          </m:sub>
                        </m:sSub>
                      </m:e>
                    </m:d>
                    <m:r>
                      <a:rPr lang="en-US" sz="11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6" name="TextBox 35"/>
            <xdr:cNvSpPr txBox="1"/>
          </xdr:nvSpPr>
          <xdr:spPr>
            <a:xfrm>
              <a:off x="771524" y="37623750"/>
              <a:ext cx="2066925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(</a:t>
              </a:r>
              <a:r>
                <a:rPr lang="en-US" sz="1100" b="0" i="0">
                  <a:latin typeface="Cambria Math"/>
                </a:rPr>
                <a:t>𝐸_𝑝𝑠/𝐸_𝑐𝑖 )(𝑓_𝑐𝑔𝑝 )(</a:t>
              </a:r>
              <a:r>
                <a:rPr lang="en-US" sz="1100" b="0" i="0" baseline="0">
                  <a:latin typeface="Cambria Math"/>
                </a:rPr>
                <a:t>"</a:t>
              </a:r>
              <a:r>
                <a:rPr lang="en-US" sz="1100" b="0" i="0" baseline="0">
                  <a:latin typeface="Symbol" panose="05050102010706020507" pitchFamily="18" charset="2"/>
                </a:rPr>
                <a:t>y</a:t>
              </a:r>
              <a:r>
                <a:rPr lang="en-US" sz="1100" b="0" i="0" baseline="0">
                  <a:latin typeface="Cambria Math"/>
                </a:rPr>
                <a:t>" (</a:t>
              </a:r>
              <a:r>
                <a:rPr lang="en-US" sz="1100" b="0" i="0">
                  <a:latin typeface="Cambria Math"/>
                </a:rPr>
                <a:t>28,𝑡_𝑖 ))(𝐾_𝑖𝑑 )=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781049</xdr:colOff>
      <xdr:row>186</xdr:row>
      <xdr:rowOff>104775</xdr:rowOff>
    </xdr:from>
    <xdr:ext cx="1914525" cy="47577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TextBox 36"/>
            <xdr:cNvSpPr txBox="1"/>
          </xdr:nvSpPr>
          <xdr:spPr>
            <a:xfrm>
              <a:off x="781049" y="38623875"/>
              <a:ext cx="1914525" cy="4757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i="1">
                                <a:latin typeface="Cambria Math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110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latin typeface="Cambria Math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US" sz="1100" b="0" i="1">
                                    <a:latin typeface="Cambria Math"/>
                                  </a:rPr>
                                  <m:t>𝑝𝑖</m:t>
                                </m:r>
                              </m:sub>
                            </m:sSub>
                          </m:num>
                          <m:den>
                            <m:r>
                              <a:rPr lang="en-US" sz="1100" b="0" i="1">
                                <a:latin typeface="Cambria Math"/>
                              </a:rPr>
                              <m:t>30</m:t>
                            </m:r>
                          </m:den>
                        </m:f>
                      </m:e>
                    </m:d>
                    <m:d>
                      <m:dPr>
                        <m:ctrlPr>
                          <a:rPr lang="en-US" sz="110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i="1">
                                <a:latin typeface="Cambria Math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110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latin typeface="Cambria Math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US" sz="1100" b="0" i="1">
                                    <a:latin typeface="Cambria Math"/>
                                  </a:rPr>
                                  <m:t>𝑝𝑖</m:t>
                                </m:r>
                              </m:sub>
                            </m:sSub>
                          </m:num>
                          <m:den>
                            <m:r>
                              <a:rPr lang="en-US" sz="1100" b="0" i="1">
                                <a:latin typeface="Cambria Math"/>
                              </a:rPr>
                              <m:t>0.9</m:t>
                            </m:r>
                            <m:sSub>
                              <m:sSubPr>
                                <m:ctrlPr>
                                  <a:rPr lang="en-US" sz="11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latin typeface="Cambria Math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US" sz="1100" b="0" i="1">
                                    <a:latin typeface="Cambria Math"/>
                                  </a:rPr>
                                  <m:t>𝑝𝑢</m:t>
                                </m:r>
                              </m:sub>
                            </m:sSub>
                          </m:den>
                        </m:f>
                        <m:r>
                          <a:rPr lang="en-US" sz="1100" b="0" i="1">
                            <a:latin typeface="Cambria Math"/>
                          </a:rPr>
                          <m:t>−0.55</m:t>
                        </m:r>
                      </m:e>
                    </m:d>
                    <m:r>
                      <a:rPr lang="en-US" sz="11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7" name="TextBox 36"/>
            <xdr:cNvSpPr txBox="1"/>
          </xdr:nvSpPr>
          <xdr:spPr>
            <a:xfrm>
              <a:off x="781049" y="38623875"/>
              <a:ext cx="1914525" cy="4757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(</a:t>
              </a:r>
              <a:r>
                <a:rPr lang="en-US" sz="1100" b="0" i="0">
                  <a:latin typeface="Cambria Math"/>
                </a:rPr>
                <a:t>𝑓_𝑝𝑖/30)</a:t>
              </a:r>
              <a:r>
                <a:rPr lang="en-US" sz="1100" i="0">
                  <a:latin typeface="Cambria Math"/>
                </a:rPr>
                <a:t>(</a:t>
              </a:r>
              <a:r>
                <a:rPr lang="en-US" sz="1100" b="0" i="0">
                  <a:latin typeface="Cambria Math"/>
                </a:rPr>
                <a:t>𝑓_𝑝𝑖/(0.9𝑓_𝑝𝑢 )−0.55)=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180975</xdr:colOff>
      <xdr:row>191</xdr:row>
      <xdr:rowOff>180975</xdr:rowOff>
    </xdr:from>
    <xdr:ext cx="1381125" cy="28674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TextBox 37"/>
            <xdr:cNvSpPr txBox="1"/>
          </xdr:nvSpPr>
          <xdr:spPr>
            <a:xfrm>
              <a:off x="1028700" y="39690675"/>
              <a:ext cx="1381125" cy="2867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nor/>
                              </m:rPr>
                              <a:rPr lang="en-US" sz="1100" b="0" i="0" baseline="0">
                                <a:latin typeface="Symbol" panose="05050102010706020507" pitchFamily="18" charset="2"/>
                              </a:rPr>
                              <m:t>e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/>
                              </a:rPr>
                              <m:t>𝑏𝑖𝑑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𝐸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/>
                              </a:rPr>
                              <m:t>𝑝𝑠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𝐾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/>
                              </a:rPr>
                              <m:t>𝑖𝑑</m:t>
                            </m:r>
                          </m:sub>
                        </m:sSub>
                      </m:e>
                    </m:d>
                    <m:r>
                      <a:rPr lang="en-US" sz="11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8" name="TextBox 37"/>
            <xdr:cNvSpPr txBox="1"/>
          </xdr:nvSpPr>
          <xdr:spPr>
            <a:xfrm>
              <a:off x="1028700" y="39690675"/>
              <a:ext cx="1381125" cy="2867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(</a:t>
              </a:r>
              <a:r>
                <a:rPr lang="en-US" sz="1100" b="0" i="0" baseline="0">
                  <a:latin typeface="Cambria Math"/>
                </a:rPr>
                <a:t>"</a:t>
              </a:r>
              <a:r>
                <a:rPr lang="en-US" sz="1100" b="0" i="0" baseline="0">
                  <a:latin typeface="Symbol" panose="05050102010706020507" pitchFamily="18" charset="2"/>
                </a:rPr>
                <a:t>e</a:t>
              </a:r>
              <a:r>
                <a:rPr lang="en-US" sz="1100" b="0" i="0" baseline="0">
                  <a:latin typeface="Cambria Math"/>
                </a:rPr>
                <a:t>" _</a:t>
              </a:r>
              <a:r>
                <a:rPr lang="en-US" sz="1100" b="0" i="0">
                  <a:latin typeface="Cambria Math"/>
                </a:rPr>
                <a:t>𝑏𝑖𝑑 )(𝐸_𝑝𝑠 )(𝐾_𝑖𝑑 )=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723900</xdr:colOff>
      <xdr:row>195</xdr:row>
      <xdr:rowOff>123825</xdr:rowOff>
    </xdr:from>
    <xdr:ext cx="2200275" cy="472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TextBox 38"/>
            <xdr:cNvSpPr txBox="1"/>
          </xdr:nvSpPr>
          <xdr:spPr>
            <a:xfrm>
              <a:off x="723900" y="40433625"/>
              <a:ext cx="2200275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i="1">
                                <a:latin typeface="Cambria Math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110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latin typeface="Cambria Math"/>
                                  </a:rPr>
                                  <m:t>𝐸</m:t>
                                </m:r>
                              </m:e>
                              <m:sub>
                                <m:r>
                                  <a:rPr lang="en-US" sz="1100" b="0" i="1">
                                    <a:latin typeface="Cambria Math"/>
                                  </a:rPr>
                                  <m:t>𝑝𝑠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en-US" sz="110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latin typeface="Cambria Math"/>
                                  </a:rPr>
                                  <m:t>𝐸</m:t>
                                </m:r>
                              </m:e>
                              <m:sub>
                                <m:r>
                                  <a:rPr lang="en-US" sz="1100" b="0" i="1">
                                    <a:latin typeface="Cambria Math"/>
                                  </a:rPr>
                                  <m:t>𝑐𝑖</m:t>
                                </m:r>
                              </m:sub>
                            </m:sSub>
                          </m:den>
                        </m:f>
                      </m:e>
                    </m:d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𝑓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/>
                              </a:rPr>
                              <m:t>𝑐𝑔𝑝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r>
                          <m:rPr>
                            <m:nor/>
                          </m:rPr>
                          <a:rPr lang="en-US" sz="1100" b="0" i="0" baseline="0">
                            <a:latin typeface="Symbol" panose="05050102010706020507" pitchFamily="18" charset="2"/>
                          </a:rPr>
                          <m:t>y</m:t>
                        </m:r>
                        <m:d>
                          <m:d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365,</m:t>
                            </m:r>
                            <m:sSub>
                              <m:sSubPr>
                                <m:ctrlPr>
                                  <a:rPr lang="en-US" sz="11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latin typeface="Cambria Math"/>
                                  </a:rPr>
                                  <m:t>𝑡</m:t>
                                </m:r>
                              </m:e>
                              <m:sub>
                                <m:r>
                                  <a:rPr lang="en-US" sz="1100" b="0" i="1">
                                    <a:latin typeface="Cambria Math"/>
                                  </a:rPr>
                                  <m:t>𝑖</m:t>
                                </m:r>
                              </m:sub>
                            </m:sSub>
                          </m:e>
                        </m:d>
                      </m:e>
                    </m:d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𝐾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/>
                              </a:rPr>
                              <m:t>𝑖𝑑</m:t>
                            </m:r>
                          </m:sub>
                        </m:sSub>
                      </m:e>
                    </m:d>
                    <m:r>
                      <a:rPr lang="en-US" sz="11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9" name="TextBox 38"/>
            <xdr:cNvSpPr txBox="1"/>
          </xdr:nvSpPr>
          <xdr:spPr>
            <a:xfrm>
              <a:off x="723900" y="40433625"/>
              <a:ext cx="2200275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(</a:t>
              </a:r>
              <a:r>
                <a:rPr lang="en-US" sz="1100" b="0" i="0">
                  <a:latin typeface="Cambria Math"/>
                </a:rPr>
                <a:t>𝐸_𝑝𝑠/𝐸_𝑐𝑖 )(𝑓_𝑐𝑔𝑝 )(</a:t>
              </a:r>
              <a:r>
                <a:rPr lang="en-US" sz="1100" b="0" i="0" baseline="0">
                  <a:latin typeface="Cambria Math"/>
                </a:rPr>
                <a:t>"</a:t>
              </a:r>
              <a:r>
                <a:rPr lang="en-US" sz="1100" b="0" i="0" baseline="0">
                  <a:latin typeface="Symbol" panose="05050102010706020507" pitchFamily="18" charset="2"/>
                </a:rPr>
                <a:t>y</a:t>
              </a:r>
              <a:r>
                <a:rPr lang="en-US" sz="1100" b="0" i="0" baseline="0">
                  <a:latin typeface="Cambria Math"/>
                </a:rPr>
                <a:t>" (</a:t>
              </a:r>
              <a:r>
                <a:rPr lang="en-US" sz="1100" b="0" i="0">
                  <a:latin typeface="Cambria Math"/>
                </a:rPr>
                <a:t>365,𝑡_𝑖 ))(𝐾_𝑖𝑑 )=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800100</xdr:colOff>
      <xdr:row>200</xdr:row>
      <xdr:rowOff>123825</xdr:rowOff>
    </xdr:from>
    <xdr:ext cx="1914525" cy="47577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TextBox 39"/>
            <xdr:cNvSpPr txBox="1"/>
          </xdr:nvSpPr>
          <xdr:spPr>
            <a:xfrm>
              <a:off x="800100" y="41424225"/>
              <a:ext cx="1914525" cy="4757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i="1">
                                <a:latin typeface="Cambria Math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110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latin typeface="Cambria Math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US" sz="1100" b="0" i="1">
                                    <a:latin typeface="Cambria Math"/>
                                  </a:rPr>
                                  <m:t>𝑝𝑖</m:t>
                                </m:r>
                              </m:sub>
                            </m:sSub>
                          </m:num>
                          <m:den>
                            <m:r>
                              <a:rPr lang="en-US" sz="1100" b="0" i="1">
                                <a:latin typeface="Cambria Math"/>
                              </a:rPr>
                              <m:t>30</m:t>
                            </m:r>
                          </m:den>
                        </m:f>
                      </m:e>
                    </m:d>
                    <m:d>
                      <m:dPr>
                        <m:ctrlPr>
                          <a:rPr lang="en-US" sz="110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i="1">
                                <a:latin typeface="Cambria Math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110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latin typeface="Cambria Math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US" sz="1100" b="0" i="1">
                                    <a:latin typeface="Cambria Math"/>
                                  </a:rPr>
                                  <m:t>𝑝𝑖</m:t>
                                </m:r>
                              </m:sub>
                            </m:sSub>
                          </m:num>
                          <m:den>
                            <m:r>
                              <a:rPr lang="en-US" sz="1100" b="0" i="1">
                                <a:latin typeface="Cambria Math"/>
                              </a:rPr>
                              <m:t>0.9</m:t>
                            </m:r>
                            <m:sSub>
                              <m:sSubPr>
                                <m:ctrlPr>
                                  <a:rPr lang="en-US" sz="11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latin typeface="Cambria Math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US" sz="1100" b="0" i="1">
                                    <a:latin typeface="Cambria Math"/>
                                  </a:rPr>
                                  <m:t>𝑝𝑢</m:t>
                                </m:r>
                              </m:sub>
                            </m:sSub>
                          </m:den>
                        </m:f>
                        <m:r>
                          <a:rPr lang="en-US" sz="1100" b="0" i="1">
                            <a:latin typeface="Cambria Math"/>
                          </a:rPr>
                          <m:t>−0.55</m:t>
                        </m:r>
                      </m:e>
                    </m:d>
                    <m:r>
                      <a:rPr lang="en-US" sz="11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0" name="TextBox 39"/>
            <xdr:cNvSpPr txBox="1"/>
          </xdr:nvSpPr>
          <xdr:spPr>
            <a:xfrm>
              <a:off x="800100" y="41424225"/>
              <a:ext cx="1914525" cy="4757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(</a:t>
              </a:r>
              <a:r>
                <a:rPr lang="en-US" sz="1100" b="0" i="0">
                  <a:latin typeface="Cambria Math"/>
                </a:rPr>
                <a:t>𝑓_𝑝𝑖/30)</a:t>
              </a:r>
              <a:r>
                <a:rPr lang="en-US" sz="1100" i="0">
                  <a:latin typeface="Cambria Math"/>
                </a:rPr>
                <a:t>(</a:t>
              </a:r>
              <a:r>
                <a:rPr lang="en-US" sz="1100" b="0" i="0">
                  <a:latin typeface="Cambria Math"/>
                </a:rPr>
                <a:t>𝑓_𝑝𝑖/(0.9𝑓_𝑝𝑢 )−0.55)=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638174</xdr:colOff>
      <xdr:row>205</xdr:row>
      <xdr:rowOff>180975</xdr:rowOff>
    </xdr:from>
    <xdr:ext cx="3962401" cy="28674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TextBox 40"/>
            <xdr:cNvSpPr txBox="1"/>
          </xdr:nvSpPr>
          <xdr:spPr>
            <a:xfrm>
              <a:off x="638174" y="42205275"/>
              <a:ext cx="3962401" cy="2867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A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ps</m:t>
                            </m:r>
                          </m:sub>
                        </m:sSub>
                      </m:e>
                    </m:d>
                    <m:r>
                      <a:rPr lang="en-US" sz="1100" b="0" i="0">
                        <a:latin typeface="Cambria Math"/>
                      </a:rPr>
                      <m:t>[0.75</m:t>
                    </m:r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f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pu</m:t>
                        </m:r>
                      </m:sub>
                    </m:sSub>
                    <m:r>
                      <a:rPr lang="en-US" sz="1100" b="0" i="0">
                        <a:latin typeface="Cambria Math"/>
                      </a:rPr>
                      <m:t>−</m:t>
                    </m:r>
                    <m:d>
                      <m:dPr>
                        <m:endChr m:val="]"/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100" b="0" i="0">
                                <a:latin typeface="Cambria Math"/>
                                <a:ea typeface="Cambria Math"/>
                              </a:rPr>
                              <m:t>∆</m:t>
                            </m:r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  <a:ea typeface="Cambria Math"/>
                              </a:rPr>
                              <m:t>f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pES</m:t>
                            </m:r>
                          </m:sub>
                        </m:sSub>
                        <m:r>
                          <a:rPr lang="en-US" sz="1100" b="0" i="0">
                            <a:latin typeface="Cambria Math"/>
                          </a:rPr>
                          <m:t>+</m:t>
                        </m:r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100" b="0" i="0">
                                <a:latin typeface="Cambria Math"/>
                                <a:ea typeface="Cambria Math"/>
                              </a:rPr>
                              <m:t>∆</m:t>
                            </m:r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  <a:ea typeface="Cambria Math"/>
                              </a:rPr>
                              <m:t>f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pSR</m:t>
                            </m:r>
                            <m:r>
                              <a:rPr lang="en-US" sz="1100" b="0" i="0">
                                <a:latin typeface="Cambria Math"/>
                              </a:rPr>
                              <m:t>,28</m:t>
                            </m:r>
                          </m:sub>
                        </m:sSub>
                        <m:r>
                          <a:rPr lang="en-US" sz="1100" b="0" i="0">
                            <a:latin typeface="Cambria Math"/>
                          </a:rPr>
                          <m:t>+</m:t>
                        </m:r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100" b="0" i="0">
                                <a:latin typeface="Cambria Math"/>
                                <a:ea typeface="Cambria Math"/>
                              </a:rPr>
                              <m:t>∆</m:t>
                            </m:r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  <a:ea typeface="Cambria Math"/>
                              </a:rPr>
                              <m:t>f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pCR</m:t>
                            </m:r>
                            <m:r>
                              <a:rPr lang="en-US" sz="1100" b="0" i="0">
                                <a:latin typeface="Cambria Math"/>
                              </a:rPr>
                              <m:t>,28</m:t>
                            </m:r>
                          </m:sub>
                        </m:sSub>
                        <m:r>
                          <a:rPr lang="en-US" sz="1100" b="0" i="0">
                            <a:latin typeface="Cambria Math"/>
                          </a:rPr>
                          <m:t>+</m:t>
                        </m:r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100" b="0" i="0">
                                <a:latin typeface="Cambria Math"/>
                                <a:ea typeface="Cambria Math"/>
                              </a:rPr>
                              <m:t>∆</m:t>
                            </m:r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  <a:ea typeface="Cambria Math"/>
                              </a:rPr>
                              <m:t>f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pRE</m:t>
                            </m:r>
                            <m:r>
                              <a:rPr lang="en-US" sz="1100" b="0" i="0">
                                <a:latin typeface="Cambria Math"/>
                              </a:rPr>
                              <m:t>,28</m:t>
                            </m:r>
                          </m:sub>
                        </m:sSub>
                        <m:r>
                          <a:rPr lang="en-US" sz="1100" b="0" i="1">
                            <a:latin typeface="Cambria Math"/>
                          </a:rPr>
                          <m:t>)</m:t>
                        </m:r>
                      </m:e>
                    </m:d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1" name="TextBox 40"/>
            <xdr:cNvSpPr txBox="1"/>
          </xdr:nvSpPr>
          <xdr:spPr>
            <a:xfrm>
              <a:off x="638174" y="42205275"/>
              <a:ext cx="3962401" cy="2867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(A_ps )[0.75f_pu−(〖</a:t>
              </a:r>
              <a:r>
                <a:rPr lang="en-US" sz="1100" b="0" i="0">
                  <a:latin typeface="Cambria Math"/>
                  <a:ea typeface="Cambria Math"/>
                </a:rPr>
                <a:t>∆f〗_</a:t>
              </a:r>
              <a:r>
                <a:rPr lang="en-US" sz="1100" b="0" i="0">
                  <a:latin typeface="Cambria Math"/>
                </a:rPr>
                <a:t>pES+〖</a:t>
              </a:r>
              <a:r>
                <a:rPr lang="en-US" sz="1100" b="0" i="0">
                  <a:latin typeface="Cambria Math"/>
                  <a:ea typeface="Cambria Math"/>
                </a:rPr>
                <a:t>∆f〗_(</a:t>
              </a:r>
              <a:r>
                <a:rPr lang="en-US" sz="1100" b="0" i="0">
                  <a:latin typeface="Cambria Math"/>
                </a:rPr>
                <a:t>pSR,28)+〖</a:t>
              </a:r>
              <a:r>
                <a:rPr lang="en-US" sz="1100" b="0" i="0">
                  <a:latin typeface="Cambria Math"/>
                  <a:ea typeface="Cambria Math"/>
                </a:rPr>
                <a:t>∆f〗_(</a:t>
              </a:r>
              <a:r>
                <a:rPr lang="en-US" sz="1100" b="0" i="0">
                  <a:latin typeface="Cambria Math"/>
                </a:rPr>
                <a:t>pCR,28)+〖</a:t>
              </a:r>
              <a:r>
                <a:rPr lang="en-US" sz="1100" b="0" i="0">
                  <a:latin typeface="Cambria Math"/>
                  <a:ea typeface="Cambria Math"/>
                </a:rPr>
                <a:t>∆f〗_(</a:t>
              </a:r>
              <a:r>
                <a:rPr lang="en-US" sz="1100" b="0" i="0">
                  <a:latin typeface="Cambria Math"/>
                </a:rPr>
                <a:t>pRE,28))]=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704850</xdr:colOff>
      <xdr:row>209</xdr:row>
      <xdr:rowOff>180975</xdr:rowOff>
    </xdr:from>
    <xdr:ext cx="3962401" cy="28674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TextBox 41"/>
            <xdr:cNvSpPr txBox="1"/>
          </xdr:nvSpPr>
          <xdr:spPr>
            <a:xfrm>
              <a:off x="704850" y="43005375"/>
              <a:ext cx="3962401" cy="2867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A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ps</m:t>
                            </m:r>
                          </m:sub>
                        </m:sSub>
                      </m:e>
                    </m:d>
                    <m:r>
                      <a:rPr lang="en-US" sz="1100" b="0" i="0">
                        <a:latin typeface="Cambria Math"/>
                      </a:rPr>
                      <m:t>[0.75</m:t>
                    </m:r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f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pu</m:t>
                        </m:r>
                      </m:sub>
                    </m:sSub>
                    <m:r>
                      <a:rPr lang="en-US" sz="1100" b="0" i="0">
                        <a:latin typeface="Cambria Math"/>
                      </a:rPr>
                      <m:t>−</m:t>
                    </m:r>
                    <m:d>
                      <m:dPr>
                        <m:endChr m:val="]"/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100" b="0" i="0">
                                <a:latin typeface="Cambria Math"/>
                                <a:ea typeface="Cambria Math"/>
                              </a:rPr>
                              <m:t>∆</m:t>
                            </m:r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  <a:ea typeface="Cambria Math"/>
                              </a:rPr>
                              <m:t>f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pES</m:t>
                            </m:r>
                          </m:sub>
                        </m:sSub>
                        <m:r>
                          <a:rPr lang="en-US" sz="1100" b="0" i="0">
                            <a:latin typeface="Cambria Math"/>
                          </a:rPr>
                          <m:t>+</m:t>
                        </m:r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100" b="0" i="0">
                                <a:latin typeface="Cambria Math"/>
                                <a:ea typeface="Cambria Math"/>
                              </a:rPr>
                              <m:t>∆</m:t>
                            </m:r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  <a:ea typeface="Cambria Math"/>
                              </a:rPr>
                              <m:t>f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pSR</m:t>
                            </m:r>
                            <m:r>
                              <a:rPr lang="en-US" sz="1100" b="0" i="0">
                                <a:latin typeface="Cambria Math"/>
                              </a:rPr>
                              <m:t>,365</m:t>
                            </m:r>
                          </m:sub>
                        </m:sSub>
                        <m:r>
                          <a:rPr lang="en-US" sz="1100" b="0" i="0">
                            <a:latin typeface="Cambria Math"/>
                          </a:rPr>
                          <m:t>+</m:t>
                        </m:r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100" b="0" i="0">
                                <a:latin typeface="Cambria Math"/>
                                <a:ea typeface="Cambria Math"/>
                              </a:rPr>
                              <m:t>∆</m:t>
                            </m:r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  <a:ea typeface="Cambria Math"/>
                              </a:rPr>
                              <m:t>f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pCR</m:t>
                            </m:r>
                            <m:r>
                              <a:rPr lang="en-US" sz="1100" b="0" i="0">
                                <a:latin typeface="Cambria Math"/>
                              </a:rPr>
                              <m:t>,365</m:t>
                            </m:r>
                          </m:sub>
                        </m:sSub>
                        <m:r>
                          <a:rPr lang="en-US" sz="1100" b="0" i="0">
                            <a:latin typeface="Cambria Math"/>
                          </a:rPr>
                          <m:t>+</m:t>
                        </m:r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100" b="0" i="0">
                                <a:latin typeface="Cambria Math"/>
                                <a:ea typeface="Cambria Math"/>
                              </a:rPr>
                              <m:t>∆</m:t>
                            </m:r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  <a:ea typeface="Cambria Math"/>
                              </a:rPr>
                              <m:t>f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pRE</m:t>
                            </m:r>
                            <m:r>
                              <a:rPr lang="en-US" sz="1100" b="0" i="0">
                                <a:latin typeface="Cambria Math"/>
                              </a:rPr>
                              <m:t>,365</m:t>
                            </m:r>
                          </m:sub>
                        </m:sSub>
                        <m:r>
                          <a:rPr lang="en-US" sz="1100" b="0" i="1">
                            <a:latin typeface="Cambria Math"/>
                          </a:rPr>
                          <m:t>)</m:t>
                        </m:r>
                      </m:e>
                    </m:d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2" name="TextBox 41"/>
            <xdr:cNvSpPr txBox="1"/>
          </xdr:nvSpPr>
          <xdr:spPr>
            <a:xfrm>
              <a:off x="704850" y="43005375"/>
              <a:ext cx="3962401" cy="2867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(A_ps )[0.75f_pu−(〖</a:t>
              </a:r>
              <a:r>
                <a:rPr lang="en-US" sz="1100" b="0" i="0">
                  <a:latin typeface="Cambria Math"/>
                  <a:ea typeface="Cambria Math"/>
                </a:rPr>
                <a:t>∆f〗_</a:t>
              </a:r>
              <a:r>
                <a:rPr lang="en-US" sz="1100" b="0" i="0">
                  <a:latin typeface="Cambria Math"/>
                </a:rPr>
                <a:t>pES+〖</a:t>
              </a:r>
              <a:r>
                <a:rPr lang="en-US" sz="1100" b="0" i="0">
                  <a:latin typeface="Cambria Math"/>
                  <a:ea typeface="Cambria Math"/>
                </a:rPr>
                <a:t>∆f〗_(</a:t>
              </a:r>
              <a:r>
                <a:rPr lang="en-US" sz="1100" b="0" i="0">
                  <a:latin typeface="Cambria Math"/>
                </a:rPr>
                <a:t>pSR,365)+〖</a:t>
              </a:r>
              <a:r>
                <a:rPr lang="en-US" sz="1100" b="0" i="0">
                  <a:latin typeface="Cambria Math"/>
                  <a:ea typeface="Cambria Math"/>
                </a:rPr>
                <a:t>∆f〗_(</a:t>
              </a:r>
              <a:r>
                <a:rPr lang="en-US" sz="1100" b="0" i="0">
                  <a:latin typeface="Cambria Math"/>
                </a:rPr>
                <a:t>pCR,365)+〖</a:t>
              </a:r>
              <a:r>
                <a:rPr lang="en-US" sz="1100" b="0" i="0">
                  <a:latin typeface="Cambria Math"/>
                  <a:ea typeface="Cambria Math"/>
                </a:rPr>
                <a:t>∆f〗_(</a:t>
              </a:r>
              <a:r>
                <a:rPr lang="en-US" sz="1100" b="0" i="0">
                  <a:latin typeface="Cambria Math"/>
                </a:rPr>
                <a:t>pRE,365))]=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590548</xdr:colOff>
      <xdr:row>224</xdr:row>
      <xdr:rowOff>133350</xdr:rowOff>
    </xdr:from>
    <xdr:ext cx="5219702" cy="55053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TextBox 42"/>
            <xdr:cNvSpPr txBox="1"/>
          </xdr:nvSpPr>
          <xdr:spPr>
            <a:xfrm>
              <a:off x="590548" y="46186725"/>
              <a:ext cx="5219702" cy="5505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i="1">
                                <a:latin typeface="Cambria Math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110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P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i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en-US" sz="110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E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ci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en-US" sz="110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I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g</m:t>
                                </m:r>
                              </m:sub>
                            </m:sSub>
                          </m:den>
                        </m:f>
                      </m:e>
                    </m:d>
                    <m:d>
                      <m:dPr>
                        <m:begChr m:val="["/>
                        <m:endChr m:val="]"/>
                        <m:ctrlPr>
                          <a:rPr lang="en-US" sz="110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i="1">
                                <a:latin typeface="Cambria Math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110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e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m</m:t>
                                </m:r>
                              </m:sub>
                            </m:sSub>
                            <m:sSup>
                              <m:sSupPr>
                                <m:ctrlPr>
                                  <a:rPr lang="en-US" sz="1100" i="1">
                                    <a:latin typeface="Cambria Math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n-US" sz="1100" i="1">
                                        <a:latin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0">
                                        <a:latin typeface="Cambria Math"/>
                                      </a:rPr>
                                      <m:t>(</m:t>
                                    </m:r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latin typeface="Cambria Math"/>
                                      </a:rPr>
                                      <m:t>L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latin typeface="Cambria Math"/>
                                      </a:rPr>
                                      <m:t>m</m:t>
                                    </m:r>
                                  </m:sub>
                                </m:s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x</m:t>
                                </m:r>
                                <m:r>
                                  <a:rPr lang="en-US" sz="1100" b="0" i="0">
                                    <a:latin typeface="Cambria Math"/>
                                  </a:rPr>
                                  <m:t>12)</m:t>
                                </m:r>
                              </m:e>
                              <m:sup>
                                <m:r>
                                  <a:rPr lang="en-US" sz="1100" b="0" i="0">
                                    <a:latin typeface="Cambria Math"/>
                                  </a:rPr>
                                  <m:t>2</m:t>
                                </m:r>
                              </m:sup>
                            </m:sSup>
                          </m:num>
                          <m:den>
                            <m:r>
                              <a:rPr lang="en-US" sz="1100" b="0" i="0">
                                <a:latin typeface="Cambria Math"/>
                              </a:rPr>
                              <m:t>8</m:t>
                            </m:r>
                          </m:den>
                        </m:f>
                        <m:r>
                          <a:rPr lang="en-US" sz="1100" b="0" i="0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US" sz="11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e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m</m:t>
                                </m:r>
                              </m:sub>
                            </m:sSub>
                            <m:r>
                              <a:rPr lang="en-US" sz="1100" b="0" i="0">
                                <a:latin typeface="Cambria Math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US" sz="11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e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e</m:t>
                                </m:r>
                              </m:sub>
                            </m:sSub>
                          </m:e>
                        </m:d>
                        <m:d>
                          <m:d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US" sz="1100" b="0" i="1">
                                    <a:latin typeface="Cambria Math"/>
                                  </a:rPr>
                                </m:ctrlPr>
                              </m:fPr>
                              <m:num>
                                <m:sSup>
                                  <m:sSup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d>
                                      <m:dPr>
                                        <m:ctrlP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en-US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0.5</m:t>
                                        </m:r>
                                        <m:sSub>
                                          <m:sSubPr>
                                            <m:ctrlP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m:rPr>
                                                <m:sty m:val="p"/>
                                              </m:rPr>
                                              <a:rPr lang="en-US" sz="1100" b="0" i="0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L</m:t>
                                            </m:r>
                                          </m:e>
                                          <m:sub>
                                            <m:r>
                                              <m:rPr>
                                                <m:sty m:val="p"/>
                                              </m:rPr>
                                              <a:rPr lang="en-US" sz="1100" b="0" i="0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m</m:t>
                                            </m:r>
                                          </m:sub>
                                        </m:sSub>
                                        <m:r>
                                          <m:rPr>
                                            <m:sty m:val="p"/>
                                          </m:rPr>
                                          <a:rPr lang="en-US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x</m:t>
                                        </m:r>
                                        <m:r>
                                          <a:rPr lang="en-US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12−</m:t>
                                        </m:r>
                                        <m:sSub>
                                          <m:sSubPr>
                                            <m:ctrlP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𝐿</m:t>
                                            </m:r>
                                          </m:e>
                                          <m:sub>
                                            <m: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h</m:t>
                                            </m:r>
                                          </m:sub>
                                        </m:sSub>
                                        <m:r>
                                          <m:rPr>
                                            <m:sty m:val="p"/>
                                          </m:rPr>
                                          <a:rPr lang="en-US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x</m:t>
                                        </m:r>
                                        <m:r>
                                          <a:rPr lang="en-US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12</m:t>
                                        </m:r>
                                      </m:e>
                                    </m:d>
                                  </m:e>
                                  <m:sup>
                                    <m:r>
                                      <a:rPr lang="en-US" sz="11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p>
                                </m:sSup>
                              </m:num>
                              <m:den>
                                <m:r>
                                  <a:rPr lang="en-US" sz="1100" b="0" i="1">
                                    <a:latin typeface="Cambria Math"/>
                                  </a:rPr>
                                  <m:t>6</m:t>
                                </m:r>
                              </m:den>
                            </m:f>
                          </m:e>
                        </m:d>
                        <m:r>
                          <a:rPr lang="en-US" sz="1100" b="0" i="1">
                            <a:latin typeface="Cambria Math"/>
                          </a:rPr>
                          <m:t>−</m:t>
                        </m:r>
                        <m:f>
                          <m:f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e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m</m:t>
                                </m:r>
                              </m:sub>
                            </m:sSub>
                            <m: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)</m:t>
                            </m:r>
                            <m:sSup>
                              <m:sSup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sSub>
                                  <m:sSub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𝐿</m:t>
                                    </m:r>
                                  </m:e>
                                  <m:sub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𝑑</m:t>
                                    </m:r>
                                  </m:sub>
                                </m:s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𝐿</m:t>
                                    </m:r>
                                  </m:e>
                                  <m:sub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𝑡</m:t>
                                    </m:r>
                                  </m:sub>
                                </m:sSub>
                                <m: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</m:num>
                          <m:den>
                            <m: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6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3" name="TextBox 42"/>
            <xdr:cNvSpPr txBox="1"/>
          </xdr:nvSpPr>
          <xdr:spPr>
            <a:xfrm>
              <a:off x="590548" y="46186725"/>
              <a:ext cx="5219702" cy="5505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(</a:t>
              </a:r>
              <a:r>
                <a:rPr lang="en-US" sz="1100" b="0" i="0">
                  <a:latin typeface="Cambria Math"/>
                </a:rPr>
                <a:t>P_i/(E_ci I_g ))</a:t>
              </a:r>
              <a:r>
                <a:rPr lang="en-US" sz="1100" i="0">
                  <a:latin typeface="Cambria Math"/>
                </a:rPr>
                <a:t>[(</a:t>
              </a:r>
              <a:r>
                <a:rPr lang="en-US" sz="1100" b="0" i="0">
                  <a:latin typeface="Cambria Math"/>
                </a:rPr>
                <a:t>e_m 〖〖(L〗_m x12)〗^2)/8−(e_m−e_e )(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0.5L_m x12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−𝐿_ℎ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x12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^2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</a:t>
              </a:r>
              <a:r>
                <a:rPr lang="en-US" sz="1100" b="0" i="0">
                  <a:latin typeface="Cambria Math"/>
                </a:rPr>
                <a:t>6)−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(e_m)〖(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𝐿_𝑑+𝐿_𝑡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)〗^2)/6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]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666750</xdr:colOff>
      <xdr:row>230</xdr:row>
      <xdr:rowOff>19050</xdr:rowOff>
    </xdr:from>
    <xdr:ext cx="1847850" cy="60567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TextBox 43"/>
            <xdr:cNvSpPr txBox="1"/>
          </xdr:nvSpPr>
          <xdr:spPr>
            <a:xfrm>
              <a:off x="666750" y="47224950"/>
              <a:ext cx="1847850" cy="60567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100" b="0" i="0">
                            <a:latin typeface="Cambria Math"/>
                          </a:rPr>
                          <m:t>5</m:t>
                        </m:r>
                        <m:d>
                          <m:d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US" sz="1100" b="0" i="1">
                                    <a:latin typeface="Cambria Math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n-US" sz="1100" b="0" i="1">
                                        <a:latin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latin typeface="Cambria Math"/>
                                      </a:rPr>
                                      <m:t>w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latin typeface="Cambria Math"/>
                                      </a:rPr>
                                      <m:t>g</m:t>
                                    </m:r>
                                  </m:sub>
                                </m:sSub>
                                <m:r>
                                  <a:rPr lang="en-US" sz="1100" b="0" i="0">
                                    <a:latin typeface="Cambria Math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en-US" sz="1100" b="0" i="1">
                                        <a:latin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latin typeface="Cambria Math"/>
                                      </a:rPr>
                                      <m:t>w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latin typeface="Cambria Math"/>
                                      </a:rPr>
                                      <m:t>d</m:t>
                                    </m:r>
                                  </m:sub>
                                </m:sSub>
                              </m:num>
                              <m:den>
                                <m:r>
                                  <a:rPr lang="en-US" sz="1100" b="0" i="0">
                                    <a:latin typeface="Cambria Math"/>
                                  </a:rPr>
                                  <m:t>12</m:t>
                                </m:r>
                              </m:den>
                            </m:f>
                          </m:e>
                        </m:d>
                        <m:sSup>
                          <m:sSup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n-US" sz="1100" b="0" i="1">
                                    <a:latin typeface="Cambria Math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en-US" sz="1100" b="0" i="1">
                                        <a:latin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latin typeface="Cambria Math"/>
                                      </a:rPr>
                                      <m:t>L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latin typeface="Cambria Math"/>
                                      </a:rPr>
                                      <m:t>m</m:t>
                                    </m:r>
                                  </m:sub>
                                </m:s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x</m:t>
                                </m:r>
                                <m:r>
                                  <a:rPr lang="en-US" sz="1100" b="0" i="0">
                                    <a:latin typeface="Cambria Math"/>
                                  </a:rPr>
                                  <m:t>12</m:t>
                                </m:r>
                              </m:e>
                            </m:d>
                          </m:e>
                          <m:sup>
                            <m:r>
                              <a:rPr lang="en-US" sz="1100" b="0" i="0">
                                <a:latin typeface="Cambria Math"/>
                              </a:rPr>
                              <m:t>4</m:t>
                            </m:r>
                          </m:sup>
                        </m:sSup>
                      </m:num>
                      <m:den>
                        <m:r>
                          <a:rPr lang="en-US" sz="1100" b="0" i="0">
                            <a:latin typeface="Cambria Math"/>
                          </a:rPr>
                          <m:t>384</m:t>
                        </m:r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E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ci</m:t>
                            </m:r>
                          </m:sub>
                        </m:sSub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I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g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4" name="TextBox 43"/>
            <xdr:cNvSpPr txBox="1"/>
          </xdr:nvSpPr>
          <xdr:spPr>
            <a:xfrm>
              <a:off x="666750" y="47224950"/>
              <a:ext cx="1847850" cy="60567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(</a:t>
              </a:r>
              <a:r>
                <a:rPr lang="en-US" sz="1100" b="0" i="0">
                  <a:latin typeface="Cambria Math"/>
                </a:rPr>
                <a:t>5((w_g+w_d)/12) (L_m x12)^4)/(384E_ci I_g 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600075</xdr:colOff>
      <xdr:row>235</xdr:row>
      <xdr:rowOff>171450</xdr:rowOff>
    </xdr:from>
    <xdr:ext cx="1257300" cy="27494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TextBox 44"/>
            <xdr:cNvSpPr txBox="1"/>
          </xdr:nvSpPr>
          <xdr:spPr>
            <a:xfrm>
              <a:off x="600075" y="48406050"/>
              <a:ext cx="1257300" cy="2749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i="0">
                            <a:latin typeface="Cambria Math"/>
                            <a:ea typeface="Cambria Math"/>
                          </a:rPr>
                          <m:t>∆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ps</m:t>
                        </m:r>
                        <m:r>
                          <a:rPr lang="en-US" sz="1100" b="0" i="0">
                            <a:latin typeface="Cambria Math"/>
                          </a:rPr>
                          <m:t>,</m:t>
                        </m:r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i</m:t>
                        </m:r>
                      </m:sub>
                    </m:sSub>
                    <m:r>
                      <a:rPr lang="en-US" sz="1100" b="0" i="0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0">
                            <a:latin typeface="Cambria Math"/>
                            <a:ea typeface="Cambria Math"/>
                          </a:rPr>
                          <m:t>∆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sw</m:t>
                        </m:r>
                        <m:r>
                          <a:rPr lang="en-US" sz="1100" b="0" i="0">
                            <a:latin typeface="Cambria Math"/>
                          </a:rPr>
                          <m:t>,</m:t>
                        </m:r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i</m:t>
                        </m:r>
                      </m:sub>
                    </m:sSub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5" name="TextBox 44"/>
            <xdr:cNvSpPr txBox="1"/>
          </xdr:nvSpPr>
          <xdr:spPr>
            <a:xfrm>
              <a:off x="600075" y="48406050"/>
              <a:ext cx="1257300" cy="2749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  <a:ea typeface="Cambria Math"/>
                </a:rPr>
                <a:t>∆_(</a:t>
              </a:r>
              <a:r>
                <a:rPr lang="en-US" sz="1100" b="0" i="0">
                  <a:latin typeface="Cambria Math"/>
                </a:rPr>
                <a:t>ps,i)−</a:t>
              </a:r>
              <a:r>
                <a:rPr lang="en-US" sz="1100" b="0" i="0">
                  <a:latin typeface="Cambria Math"/>
                  <a:ea typeface="Cambria Math"/>
                </a:rPr>
                <a:t>∆_(</a:t>
              </a:r>
              <a:r>
                <a:rPr lang="en-US" sz="1100" b="0" i="0">
                  <a:latin typeface="Cambria Math"/>
                </a:rPr>
                <a:t>sw,i)=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647700</xdr:colOff>
      <xdr:row>240</xdr:row>
      <xdr:rowOff>104775</xdr:rowOff>
    </xdr:from>
    <xdr:ext cx="5972175" cy="5984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TextBox 45"/>
            <xdr:cNvSpPr txBox="1"/>
          </xdr:nvSpPr>
          <xdr:spPr>
            <a:xfrm>
              <a:off x="647700" y="49396650"/>
              <a:ext cx="5972175" cy="5984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i="0">
                            <a:latin typeface="Cambria Math"/>
                            <a:ea typeface="Cambria Math"/>
                          </a:rPr>
                          <m:t>∆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ps</m:t>
                        </m:r>
                        <m:r>
                          <a:rPr lang="en-US" sz="1100" b="0" i="0">
                            <a:latin typeface="Cambria Math"/>
                          </a:rPr>
                          <m:t>,</m:t>
                        </m:r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i</m:t>
                        </m:r>
                      </m:sub>
                    </m:sSub>
                    <m:r>
                      <a:rPr lang="en-US" sz="1100" b="0" i="0">
                        <a:latin typeface="Cambria Math"/>
                      </a:rPr>
                      <m:t>−</m:t>
                    </m:r>
                    <m:d>
                      <m:dPr>
                        <m:ctrlPr>
                          <a:rPr lang="en-US" sz="110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i="1">
                                <a:latin typeface="Cambria Math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110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P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i</m:t>
                                </m:r>
                              </m:sub>
                            </m:sSub>
                            <m:r>
                              <a:rPr lang="en-US" sz="1100" b="0" i="0">
                                <a:latin typeface="Cambria Math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US" sz="11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P</m:t>
                                </m:r>
                              </m:e>
                              <m:sub>
                                <m:r>
                                  <a:rPr lang="en-US" sz="1100" b="0" i="0">
                                    <a:latin typeface="Cambria Math"/>
                                  </a:rPr>
                                  <m:t>28</m:t>
                                </m:r>
                              </m:sub>
                            </m:sSub>
                          </m:num>
                          <m:den>
                            <m:d>
                              <m:dPr>
                                <m:ctrlPr>
                                  <a:rPr lang="en-US" sz="1100" i="1">
                                    <a:latin typeface="Cambria Math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US" sz="1100" i="1">
                                        <a:latin typeface="Cambria Math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lang="en-US" sz="1100" i="1">
                                            <a:latin typeface="Cambria Math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m:rPr>
                                            <m:sty m:val="p"/>
                                          </m:rPr>
                                          <a:rPr lang="en-US" sz="1100" b="0" i="0">
                                            <a:latin typeface="Cambria Math"/>
                                          </a:rPr>
                                          <m:t>E</m:t>
                                        </m:r>
                                      </m:e>
                                      <m:sub>
                                        <m:r>
                                          <m:rPr>
                                            <m:sty m:val="p"/>
                                          </m:rPr>
                                          <a:rPr lang="en-US" sz="1100" b="0" i="0">
                                            <a:latin typeface="Cambria Math"/>
                                          </a:rPr>
                                          <m:t>ci</m:t>
                                        </m:r>
                                      </m:sub>
                                    </m:sSub>
                                    <m:r>
                                      <a:rPr lang="en-US" sz="1100" b="0" i="0">
                                        <a:latin typeface="Cambria Math"/>
                                      </a:rPr>
                                      <m:t>+</m:t>
                                    </m:r>
                                    <m:sSub>
                                      <m:sSubPr>
                                        <m:ctrlPr>
                                          <a:rPr lang="en-US" sz="1100" b="0" i="1">
                                            <a:latin typeface="Cambria Math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m:rPr>
                                            <m:sty m:val="p"/>
                                          </m:rPr>
                                          <a:rPr lang="en-US" sz="1100" b="0" i="0">
                                            <a:latin typeface="Cambria Math"/>
                                          </a:rPr>
                                          <m:t>E</m:t>
                                        </m:r>
                                      </m:e>
                                      <m:sub>
                                        <m:r>
                                          <m:rPr>
                                            <m:sty m:val="p"/>
                                          </m:rPr>
                                          <a:rPr lang="en-US" sz="1100" b="0" i="0">
                                            <a:latin typeface="Cambria Math"/>
                                          </a:rPr>
                                          <m:t>c</m:t>
                                        </m:r>
                                      </m:sub>
                                    </m:sSub>
                                  </m:num>
                                  <m:den>
                                    <m:r>
                                      <a:rPr lang="en-US" sz="1100" b="0" i="0">
                                        <a:latin typeface="Cambria Math"/>
                                      </a:rPr>
                                      <m:t>2</m:t>
                                    </m:r>
                                  </m:den>
                                </m:f>
                              </m:e>
                            </m:d>
                            <m:sSub>
                              <m:sSubPr>
                                <m:ctrlPr>
                                  <a:rPr lang="en-US" sz="110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I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g</m:t>
                                </m:r>
                              </m:sub>
                            </m:sSub>
                          </m:den>
                        </m:f>
                      </m:e>
                    </m:d>
                    <m:d>
                      <m:dPr>
                        <m:begChr m:val="["/>
                        <m:endChr m:val="]"/>
                        <m:ctrlPr>
                          <a:rPr lang="en-US" sz="110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i="1">
                                <a:latin typeface="Cambria Math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110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e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m</m:t>
                                </m:r>
                              </m:sub>
                            </m:sSub>
                            <m:sSup>
                              <m:sSupPr>
                                <m:ctrlPr>
                                  <a:rPr lang="en-US" sz="1100" i="1">
                                    <a:latin typeface="Cambria Math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n-US" sz="1100" i="1">
                                        <a:latin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0">
                                        <a:latin typeface="Cambria Math"/>
                                      </a:rPr>
                                      <m:t>(</m:t>
                                    </m:r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latin typeface="Cambria Math"/>
                                      </a:rPr>
                                      <m:t>L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latin typeface="Cambria Math"/>
                                      </a:rPr>
                                      <m:t>m</m:t>
                                    </m:r>
                                  </m:sub>
                                </m:s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x</m:t>
                                </m:r>
                                <m:r>
                                  <a:rPr lang="en-US" sz="1100" b="0" i="0">
                                    <a:latin typeface="Cambria Math"/>
                                  </a:rPr>
                                  <m:t>12)</m:t>
                                </m:r>
                              </m:e>
                              <m:sup>
                                <m:r>
                                  <a:rPr lang="en-US" sz="1100" b="0" i="0">
                                    <a:latin typeface="Cambria Math"/>
                                  </a:rPr>
                                  <m:t>2</m:t>
                                </m:r>
                              </m:sup>
                            </m:sSup>
                          </m:num>
                          <m:den>
                            <m:r>
                              <a:rPr lang="en-US" sz="1100" b="0" i="0">
                                <a:latin typeface="Cambria Math"/>
                              </a:rPr>
                              <m:t>8</m:t>
                            </m:r>
                          </m:den>
                        </m:f>
                        <m:r>
                          <a:rPr lang="en-US" sz="1100" b="0" i="0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US" sz="11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e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m</m:t>
                                </m:r>
                              </m:sub>
                            </m:sSub>
                            <m:r>
                              <a:rPr lang="en-US" sz="1100" b="0" i="0">
                                <a:latin typeface="Cambria Math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US" sz="11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e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e</m:t>
                                </m:r>
                              </m:sub>
                            </m:sSub>
                          </m:e>
                        </m:d>
                        <m:d>
                          <m:d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p>
                                  <m:sSup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d>
                                      <m:dPr>
                                        <m:ctrlP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en-US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0.5</m:t>
                                        </m:r>
                                        <m:sSub>
                                          <m:sSubPr>
                                            <m:ctrlP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m:rPr>
                                                <m:sty m:val="p"/>
                                              </m:rPr>
                                              <a:rPr lang="en-US" sz="1100" b="0" i="0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L</m:t>
                                            </m:r>
                                          </m:e>
                                          <m:sub>
                                            <m:r>
                                              <m:rPr>
                                                <m:sty m:val="p"/>
                                              </m:rPr>
                                              <a:rPr lang="en-US" sz="1100" b="0" i="0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m</m:t>
                                            </m:r>
                                          </m:sub>
                                        </m:sSub>
                                        <m:r>
                                          <m:rPr>
                                            <m:sty m:val="p"/>
                                          </m:rPr>
                                          <a:rPr lang="en-US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x</m:t>
                                        </m:r>
                                        <m:r>
                                          <a:rPr lang="en-US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12−</m:t>
                                        </m:r>
                                        <m:sSub>
                                          <m:sSubPr>
                                            <m:ctrlP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𝐿</m:t>
                                            </m:r>
                                          </m:e>
                                          <m:sub>
                                            <m: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h</m:t>
                                            </m:r>
                                          </m:sub>
                                        </m:sSub>
                                        <m:r>
                                          <m:rPr>
                                            <m:sty m:val="p"/>
                                          </m:rPr>
                                          <a:rPr lang="en-US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x</m:t>
                                        </m:r>
                                        <m:r>
                                          <a:rPr lang="en-US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12</m:t>
                                        </m:r>
                                      </m:e>
                                    </m:d>
                                  </m:e>
                                  <m:sup>
                                    <m:r>
                                      <a:rPr lang="en-US" sz="11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p>
                                </m:sSup>
                              </m:num>
                              <m:den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6</m:t>
                                </m:r>
                              </m:den>
                            </m:f>
                          </m:e>
                        </m:d>
                        <m:r>
                          <a:rPr lang="en-US" sz="1100" b="0" i="1">
                            <a:latin typeface="Cambria Math"/>
                          </a:rPr>
                          <m:t>−</m:t>
                        </m:r>
                        <m:f>
                          <m:f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e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m</m:t>
                                </m:r>
                              </m:sub>
                            </m:sSub>
                            <m: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)</m:t>
                            </m:r>
                            <m:sSup>
                              <m:sSup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sSub>
                                  <m:sSub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𝐿</m:t>
                                    </m:r>
                                  </m:e>
                                  <m:sub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𝑑</m:t>
                                    </m:r>
                                  </m:sub>
                                </m:s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𝐿</m:t>
                                    </m:r>
                                  </m:e>
                                  <m:sub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𝑡</m:t>
                                    </m:r>
                                  </m:sub>
                                </m:sSub>
                                <m: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</m:num>
                          <m:den>
                            <m: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6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6" name="TextBox 45"/>
            <xdr:cNvSpPr txBox="1"/>
          </xdr:nvSpPr>
          <xdr:spPr>
            <a:xfrm>
              <a:off x="647700" y="49396650"/>
              <a:ext cx="5972175" cy="5984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  <a:ea typeface="Cambria Math"/>
                </a:rPr>
                <a:t>∆_(</a:t>
              </a:r>
              <a:r>
                <a:rPr lang="en-US" sz="1100" b="0" i="0">
                  <a:latin typeface="Cambria Math"/>
                </a:rPr>
                <a:t>ps,i)−</a:t>
              </a:r>
              <a:r>
                <a:rPr lang="en-US" sz="1100" i="0">
                  <a:latin typeface="Cambria Math"/>
                </a:rPr>
                <a:t>((</a:t>
              </a:r>
              <a:r>
                <a:rPr lang="en-US" sz="1100" b="0" i="0">
                  <a:latin typeface="Cambria Math"/>
                </a:rPr>
                <a:t>P_i−P_28)/(((E_ci+E_c)/2) I_g ))</a:t>
              </a:r>
              <a:r>
                <a:rPr lang="en-US" sz="1100" i="0">
                  <a:latin typeface="Cambria Math"/>
                </a:rPr>
                <a:t>[(</a:t>
              </a:r>
              <a:r>
                <a:rPr lang="en-US" sz="1100" b="0" i="0">
                  <a:latin typeface="Cambria Math"/>
                </a:rPr>
                <a:t>e_m 〖〖(L〗_m x12)〗^2)/8−(e_m−e_e )(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0.5L_m x12−𝐿_ℎ x12)^2/6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en-US" sz="1100" b="0" i="0">
                  <a:latin typeface="Cambria Math"/>
                </a:rPr>
                <a:t>−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(e_m)〖(𝐿_𝑑+𝐿_𝑡)〗^2)/6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]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742950</xdr:colOff>
      <xdr:row>248</xdr:row>
      <xdr:rowOff>95250</xdr:rowOff>
    </xdr:from>
    <xdr:ext cx="6000750" cy="64254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TextBox 46"/>
            <xdr:cNvSpPr txBox="1"/>
          </xdr:nvSpPr>
          <xdr:spPr>
            <a:xfrm>
              <a:off x="742950" y="51025425"/>
              <a:ext cx="6000750" cy="6425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n-US" sz="1100" b="0" i="0" u="none" baseline="0">
                        <a:latin typeface="Symbol" panose="05050102010706020507" pitchFamily="18" charset="2"/>
                      </a:rPr>
                      <m:t>y</m:t>
                    </m:r>
                    <m:r>
                      <a:rPr lang="en-US" sz="1100" b="0" i="0" u="none">
                        <a:latin typeface="Cambria Math"/>
                      </a:rPr>
                      <m:t>(28,</m:t>
                    </m:r>
                    <m:sSub>
                      <m:sSubPr>
                        <m:ctrlPr>
                          <a:rPr lang="en-US" sz="1100" b="0" i="1" u="none">
                            <a:latin typeface="Cambria Math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 u="none">
                            <a:latin typeface="Cambria Math"/>
                          </a:rPr>
                          <m:t>t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 u="none">
                            <a:latin typeface="Cambria Math"/>
                          </a:rPr>
                          <m:t>i</m:t>
                        </m:r>
                      </m:sub>
                    </m:sSub>
                    <m:r>
                      <a:rPr lang="en-US" sz="1100" b="0" i="0" u="none">
                        <a:latin typeface="Cambria Math"/>
                      </a:rPr>
                      <m:t>)</m:t>
                    </m:r>
                    <m:d>
                      <m:dPr>
                        <m:begChr m:val="["/>
                        <m:endChr m:val="]"/>
                        <m:ctrlPr>
                          <a:rPr lang="en-US" sz="1100" b="0" i="1" u="none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f>
                              <m:fPr>
                                <m:ctrlP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P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i</m:t>
                                    </m:r>
                                  </m:sub>
                                </m:sSub>
                                <m: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P</m:t>
                                    </m:r>
                                  </m:e>
                                  <m:sub>
                                    <m:r>
                                      <a:rPr lang="en-US" sz="11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28</m:t>
                                    </m:r>
                                  </m:sub>
                                </m:sSub>
                              </m:num>
                              <m:den>
                                <m: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den>
                            </m:f>
                          </m:num>
                          <m:den>
                            <m:sSub>
                              <m:sSubPr>
                                <m:ctrlP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E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ci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I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g</m:t>
                                </m:r>
                              </m:sub>
                            </m:sSub>
                          </m:den>
                        </m:f>
                        <m:d>
                          <m:d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e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m</m:t>
                                    </m:r>
                                  </m:sub>
                                </m:sSub>
                                <m:sSup>
                                  <m:sSupPr>
                                    <m:ctrlP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sSub>
                                      <m:sSubPr>
                                        <m:ctrlPr>
                                          <a:rPr lang="en-US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(</m:t>
                                        </m:r>
                                        <m:r>
                                          <m:rPr>
                                            <m:sty m:val="p"/>
                                          </m:rPr>
                                          <a:rPr lang="en-US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L</m:t>
                                        </m:r>
                                      </m:e>
                                      <m:sub>
                                        <m:r>
                                          <m:rPr>
                                            <m:sty m:val="p"/>
                                          </m:rPr>
                                          <a:rPr lang="en-US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m</m:t>
                                        </m:r>
                                      </m:sub>
                                    </m:sSub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x</m:t>
                                    </m:r>
                                    <m:r>
                                      <a:rPr lang="en-US" sz="11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12)</m:t>
                                    </m:r>
                                  </m:e>
                                  <m:sup>
                                    <m:r>
                                      <a:rPr lang="en-US" sz="11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p>
                                </m:sSup>
                              </m:num>
                              <m:den>
                                <m: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8</m:t>
                                </m:r>
                              </m:den>
                            </m:f>
                            <m: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−</m:t>
                            </m:r>
                            <m:d>
                              <m:d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e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m</m:t>
                                    </m:r>
                                  </m:sub>
                                </m:sSub>
                                <m: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sSub>
                                  <m:sSub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e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e</m:t>
                                    </m:r>
                                  </m:sub>
                                </m:sSub>
                              </m:e>
                            </m:d>
                            <m:d>
                              <m:d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sSup>
                                      <m:sSupPr>
                                        <m:ctrlP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pPr>
                                      <m:e>
                                        <m:d>
                                          <m:dPr>
                                            <m:ctrlP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r>
                                              <a:rPr lang="en-US" sz="1100" b="0" i="0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0.5</m:t>
                                            </m:r>
                                            <m:sSub>
                                              <m:sSubPr>
                                                <m:ctrlPr>
                                                  <a:rPr lang="en-US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sSubPr>
                                              <m:e>
                                                <m:r>
                                                  <m:rPr>
                                                    <m:sty m:val="p"/>
                                                  </m:rPr>
                                                  <a:rPr lang="en-US" sz="1100" b="0" i="0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/>
                                                    <a:ea typeface="+mn-ea"/>
                                                    <a:cs typeface="+mn-cs"/>
                                                  </a:rPr>
                                                  <m:t>L</m:t>
                                                </m:r>
                                              </m:e>
                                              <m:sub>
                                                <m:r>
                                                  <m:rPr>
                                                    <m:sty m:val="p"/>
                                                  </m:rPr>
                                                  <a:rPr lang="en-US" sz="1100" b="0" i="0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/>
                                                    <a:ea typeface="+mn-ea"/>
                                                    <a:cs typeface="+mn-cs"/>
                                                  </a:rPr>
                                                  <m:t>m</m:t>
                                                </m:r>
                                              </m:sub>
                                            </m:sSub>
                                            <m:r>
                                              <m:rPr>
                                                <m:sty m:val="p"/>
                                              </m:rPr>
                                              <a:rPr lang="en-US" sz="1100" b="0" i="0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x</m:t>
                                            </m:r>
                                            <m:r>
                                              <a:rPr lang="en-US" sz="1100" b="0" i="0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12−</m:t>
                                            </m:r>
                                            <m:sSub>
                                              <m:sSubPr>
                                                <m:ctrlPr>
                                                  <a:rPr lang="en-US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sSubPr>
                                              <m:e>
                                                <m:r>
                                                  <a:rPr lang="en-US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/>
                                                    <a:ea typeface="+mn-ea"/>
                                                    <a:cs typeface="+mn-cs"/>
                                                  </a:rPr>
                                                  <m:t>𝐿</m:t>
                                                </m:r>
                                              </m:e>
                                              <m:sub>
                                                <m:r>
                                                  <a:rPr lang="en-US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/>
                                                    <a:ea typeface="+mn-ea"/>
                                                    <a:cs typeface="+mn-cs"/>
                                                  </a:rPr>
                                                  <m:t>h</m:t>
                                                </m:r>
                                              </m:sub>
                                            </m:sSub>
                                            <m:r>
                                              <m:rPr>
                                                <m:sty m:val="p"/>
                                              </m:rPr>
                                              <a:rPr lang="en-US" sz="1100" b="0" i="0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x</m:t>
                                            </m:r>
                                            <m:r>
                                              <a:rPr lang="en-US" sz="1100" b="0" i="0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12</m:t>
                                            </m:r>
                                          </m:e>
                                        </m:d>
                                      </m:e>
                                      <m:sup>
                                        <m:r>
                                          <a:rPr lang="en-US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2</m:t>
                                        </m:r>
                                      </m:sup>
                                    </m:sSup>
                                  </m:num>
                                  <m:den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6</m:t>
                                    </m:r>
                                  </m:den>
                                </m:f>
                              </m:e>
                            </m:d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−</m:t>
                            </m:r>
                            <m:f>
                              <m:f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sSub>
                                  <m:sSub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e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m</m:t>
                                    </m:r>
                                  </m:sub>
                                </m:sSub>
                                <m: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  <m:sSup>
                                  <m:sSup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r>
                                      <a:rPr lang="en-US" sz="11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sSub>
                                      <m:sSubPr>
                                        <m:ctrlP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𝐿</m:t>
                                        </m:r>
                                      </m:e>
                                      <m:sub>
                                        <m: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𝑑</m:t>
                                        </m:r>
                                      </m:sub>
                                    </m:sSub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+</m:t>
                                    </m:r>
                                    <m:sSub>
                                      <m:sSubPr>
                                        <m:ctrlP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𝐿</m:t>
                                        </m:r>
                                      </m:e>
                                      <m:sub>
                                        <m: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𝑡</m:t>
                                        </m:r>
                                      </m:sub>
                                    </m:sSub>
                                    <m:r>
                                      <a:rPr lang="en-US" sz="11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)</m:t>
                                    </m:r>
                                  </m:e>
                                  <m:sup>
                                    <m:r>
                                      <a:rPr lang="en-US" sz="11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p>
                                </m:sSup>
                              </m:num>
                              <m:den>
                                <m: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6</m:t>
                                </m:r>
                              </m:den>
                            </m:f>
                          </m:e>
                        </m:d>
                        <m: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∆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sw</m:t>
                            </m:r>
                            <m: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,</m:t>
                            </m:r>
                            <m:r>
                              <m:rPr>
                                <m:sty m:val="p"/>
                              </m:rP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i</m:t>
                            </m:r>
                          </m:sub>
                        </m:sSub>
                      </m:e>
                    </m:d>
                  </m:oMath>
                </m:oMathPara>
              </a14:m>
              <a:endParaRPr lang="en-US" sz="1100" i="0" u="none"/>
            </a:p>
          </xdr:txBody>
        </xdr:sp>
      </mc:Choice>
      <mc:Fallback xmlns="">
        <xdr:sp macro="" textlink="">
          <xdr:nvSpPr>
            <xdr:cNvPr id="47" name="TextBox 46"/>
            <xdr:cNvSpPr txBox="1"/>
          </xdr:nvSpPr>
          <xdr:spPr>
            <a:xfrm>
              <a:off x="742950" y="51025425"/>
              <a:ext cx="6000750" cy="6425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 u="none" baseline="0">
                  <a:latin typeface="Cambria Math"/>
                </a:rPr>
                <a:t>"y"</a:t>
              </a:r>
              <a:r>
                <a:rPr lang="en-US" sz="1100" b="0" i="0" u="none">
                  <a:latin typeface="Cambria Math"/>
                </a:rPr>
                <a:t>(28,t_i)[</a:t>
              </a:r>
              <a:r>
                <a:rPr lang="en-US" sz="1100" b="0" i="0" u="non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P_i+P_28)/2)/(E_ci I_g )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(e_m 〖〖(L〗_m x12)〗^2)/8−(e_m−e_e )((0.5L_m x12−𝐿_ℎ x12)^2/6)−((e_m)〖(𝐿_𝑑+𝐿_𝑡)〗^2)/6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−∆_(sw,i)</a:t>
              </a:r>
              <a:r>
                <a:rPr lang="en-US" sz="1100" b="0" i="0" u="none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]</a:t>
              </a:r>
              <a:endParaRPr lang="en-US" sz="1100" i="0" u="none"/>
            </a:p>
          </xdr:txBody>
        </xdr:sp>
      </mc:Fallback>
    </mc:AlternateContent>
    <xdr:clientData/>
  </xdr:oneCellAnchor>
  <xdr:oneCellAnchor>
    <xdr:from>
      <xdr:col>0</xdr:col>
      <xdr:colOff>790573</xdr:colOff>
      <xdr:row>254</xdr:row>
      <xdr:rowOff>0</xdr:rowOff>
    </xdr:from>
    <xdr:ext cx="1847851" cy="27494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TextBox 47"/>
            <xdr:cNvSpPr txBox="1"/>
          </xdr:nvSpPr>
          <xdr:spPr>
            <a:xfrm>
              <a:off x="790573" y="52082700"/>
              <a:ext cx="1847851" cy="2749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i="0">
                            <a:latin typeface="Cambria Math"/>
                            <a:ea typeface="Cambria Math"/>
                          </a:rPr>
                          <m:t>∆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ps</m:t>
                        </m:r>
                        <m:r>
                          <a:rPr lang="en-US" sz="1100" b="0" i="0">
                            <a:latin typeface="Cambria Math"/>
                          </a:rPr>
                          <m:t>,28</m:t>
                        </m:r>
                      </m:sub>
                    </m:sSub>
                    <m:r>
                      <a:rPr lang="en-US" sz="1100" b="0" i="0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0">
                            <a:latin typeface="Cambria Math"/>
                            <a:ea typeface="Cambria Math"/>
                          </a:rPr>
                          <m:t>∆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sw</m:t>
                        </m:r>
                        <m:r>
                          <a:rPr lang="en-US" sz="1100" b="0" i="0">
                            <a:latin typeface="Cambria Math"/>
                          </a:rPr>
                          <m:t>,28</m:t>
                        </m:r>
                      </m:sub>
                    </m:sSub>
                    <m:r>
                      <a:rPr lang="en-US" sz="1100" b="0" i="0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0">
                            <a:latin typeface="Cambria Math"/>
                            <a:ea typeface="Cambria Math"/>
                          </a:rPr>
                          <m:t>∆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cr</m:t>
                        </m:r>
                        <m:r>
                          <a:rPr lang="en-US" sz="1100" b="0" i="0">
                            <a:latin typeface="Cambria Math"/>
                          </a:rPr>
                          <m:t>,28</m:t>
                        </m:r>
                      </m:sub>
                    </m:sSub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8" name="TextBox 47"/>
            <xdr:cNvSpPr txBox="1"/>
          </xdr:nvSpPr>
          <xdr:spPr>
            <a:xfrm>
              <a:off x="790573" y="52082700"/>
              <a:ext cx="1847851" cy="2749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  <a:ea typeface="Cambria Math"/>
                </a:rPr>
                <a:t>∆_(</a:t>
              </a:r>
              <a:r>
                <a:rPr lang="en-US" sz="1100" b="0" i="0">
                  <a:latin typeface="Cambria Math"/>
                </a:rPr>
                <a:t>ps,28)−</a:t>
              </a:r>
              <a:r>
                <a:rPr lang="en-US" sz="1100" b="0" i="0">
                  <a:latin typeface="Cambria Math"/>
                  <a:ea typeface="Cambria Math"/>
                </a:rPr>
                <a:t>∆_(</a:t>
              </a:r>
              <a:r>
                <a:rPr lang="en-US" sz="1100" b="0" i="0">
                  <a:latin typeface="Cambria Math"/>
                </a:rPr>
                <a:t>sw,28)+</a:t>
              </a:r>
              <a:r>
                <a:rPr lang="en-US" sz="1100" b="0" i="0">
                  <a:latin typeface="Cambria Math"/>
                  <a:ea typeface="Cambria Math"/>
                </a:rPr>
                <a:t>∆_(</a:t>
              </a:r>
              <a:r>
                <a:rPr lang="en-US" sz="1100" b="0" i="0">
                  <a:latin typeface="Cambria Math"/>
                </a:rPr>
                <a:t>cr,28)=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628650</xdr:colOff>
      <xdr:row>258</xdr:row>
      <xdr:rowOff>133350</xdr:rowOff>
    </xdr:from>
    <xdr:ext cx="5924550" cy="5313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TextBox 48"/>
            <xdr:cNvSpPr txBox="1"/>
          </xdr:nvSpPr>
          <xdr:spPr>
            <a:xfrm>
              <a:off x="628650" y="53082825"/>
              <a:ext cx="5924550" cy="5313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i="0">
                            <a:latin typeface="Cambria Math"/>
                            <a:ea typeface="Cambria Math"/>
                          </a:rPr>
                          <m:t>∆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ps</m:t>
                        </m:r>
                        <m:r>
                          <a:rPr lang="en-US" sz="1100" b="0" i="0">
                            <a:latin typeface="Cambria Math"/>
                          </a:rPr>
                          <m:t>,28</m:t>
                        </m:r>
                      </m:sub>
                    </m:sSub>
                    <m:r>
                      <a:rPr lang="en-US" sz="1100" b="0" i="0">
                        <a:latin typeface="Cambria Math"/>
                      </a:rPr>
                      <m:t>−</m:t>
                    </m:r>
                    <m:d>
                      <m:dPr>
                        <m:ctrlPr>
                          <a:rPr lang="en-US" sz="110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i="1">
                                <a:latin typeface="Cambria Math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110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P</m:t>
                                </m:r>
                              </m:e>
                              <m:sub>
                                <m:r>
                                  <a:rPr lang="en-US" sz="1100" b="0" i="0">
                                    <a:latin typeface="Cambria Math"/>
                                  </a:rPr>
                                  <m:t>28</m:t>
                                </m:r>
                              </m:sub>
                            </m:sSub>
                            <m:r>
                              <a:rPr lang="en-US" sz="1100" b="0" i="0">
                                <a:latin typeface="Cambria Math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US" sz="11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P</m:t>
                                </m:r>
                              </m:e>
                              <m:sub>
                                <m:r>
                                  <a:rPr lang="en-US" sz="1100" b="0" i="0">
                                    <a:latin typeface="Cambria Math"/>
                                  </a:rPr>
                                  <m:t>365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en-US" sz="110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latin typeface="Cambria Math"/>
                                  </a:rPr>
                                  <m:t>𝐸</m:t>
                                </m:r>
                              </m:e>
                              <m:sub>
                                <m:r>
                                  <a:rPr lang="en-US" sz="1100" b="0" i="1">
                                    <a:latin typeface="Cambria Math"/>
                                  </a:rPr>
                                  <m:t>𝑐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en-US" sz="110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I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g</m:t>
                                </m:r>
                              </m:sub>
                            </m:sSub>
                          </m:den>
                        </m:f>
                      </m:e>
                    </m:d>
                    <m:d>
                      <m:dPr>
                        <m:begChr m:val="["/>
                        <m:endChr m:val="]"/>
                        <m:ctrlPr>
                          <a:rPr lang="en-US" sz="110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i="1">
                                <a:latin typeface="Cambria Math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110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e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m</m:t>
                                </m:r>
                              </m:sub>
                            </m:sSub>
                            <m:sSup>
                              <m:sSupPr>
                                <m:ctrlPr>
                                  <a:rPr lang="en-US" sz="1100" i="1">
                                    <a:latin typeface="Cambria Math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n-US" sz="1100" i="1">
                                        <a:latin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0">
                                        <a:latin typeface="Cambria Math"/>
                                      </a:rPr>
                                      <m:t>(</m:t>
                                    </m:r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latin typeface="Cambria Math"/>
                                      </a:rPr>
                                      <m:t>L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latin typeface="Cambria Math"/>
                                      </a:rPr>
                                      <m:t>m</m:t>
                                    </m:r>
                                  </m:sub>
                                </m:s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x</m:t>
                                </m:r>
                                <m:r>
                                  <a:rPr lang="en-US" sz="1100" b="0" i="0">
                                    <a:latin typeface="Cambria Math"/>
                                  </a:rPr>
                                  <m:t>12)</m:t>
                                </m:r>
                              </m:e>
                              <m:sup>
                                <m:r>
                                  <a:rPr lang="en-US" sz="1100" b="0" i="0">
                                    <a:latin typeface="Cambria Math"/>
                                  </a:rPr>
                                  <m:t>2</m:t>
                                </m:r>
                              </m:sup>
                            </m:sSup>
                          </m:num>
                          <m:den>
                            <m:r>
                              <a:rPr lang="en-US" sz="1100" b="0" i="0">
                                <a:latin typeface="Cambria Math"/>
                              </a:rPr>
                              <m:t>8</m:t>
                            </m:r>
                          </m:den>
                        </m:f>
                        <m:r>
                          <a:rPr lang="en-US" sz="1100" b="0" i="0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US" sz="11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e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m</m:t>
                                </m:r>
                              </m:sub>
                            </m:sSub>
                            <m:r>
                              <a:rPr lang="en-US" sz="1100" b="0" i="0">
                                <a:latin typeface="Cambria Math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US" sz="11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e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e</m:t>
                                </m:r>
                              </m:sub>
                            </m:sSub>
                          </m:e>
                        </m:d>
                        <m:d>
                          <m:d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p>
                                  <m:sSup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d>
                                      <m:dPr>
                                        <m:ctrlP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en-US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0.5</m:t>
                                        </m:r>
                                        <m:sSub>
                                          <m:sSubPr>
                                            <m:ctrlP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m:rPr>
                                                <m:sty m:val="p"/>
                                              </m:rPr>
                                              <a:rPr lang="en-US" sz="1100" b="0" i="0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L</m:t>
                                            </m:r>
                                          </m:e>
                                          <m:sub>
                                            <m:r>
                                              <m:rPr>
                                                <m:sty m:val="p"/>
                                              </m:rPr>
                                              <a:rPr lang="en-US" sz="1100" b="0" i="0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m</m:t>
                                            </m:r>
                                          </m:sub>
                                        </m:sSub>
                                        <m:r>
                                          <m:rPr>
                                            <m:sty m:val="p"/>
                                          </m:rPr>
                                          <a:rPr lang="en-US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x</m:t>
                                        </m:r>
                                        <m:r>
                                          <a:rPr lang="en-US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12−</m:t>
                                        </m:r>
                                        <m:sSub>
                                          <m:sSubPr>
                                            <m:ctrlP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𝐿</m:t>
                                            </m:r>
                                          </m:e>
                                          <m:sub>
                                            <m: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h</m:t>
                                            </m:r>
                                          </m:sub>
                                        </m:sSub>
                                        <m:r>
                                          <m:rPr>
                                            <m:sty m:val="p"/>
                                          </m:rPr>
                                          <a:rPr lang="en-US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x</m:t>
                                        </m:r>
                                        <m:r>
                                          <a:rPr lang="en-US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12</m:t>
                                        </m:r>
                                      </m:e>
                                    </m:d>
                                  </m:e>
                                  <m:sup>
                                    <m:r>
                                      <a:rPr lang="en-US" sz="11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p>
                                </m:sSup>
                              </m:num>
                              <m:den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6</m:t>
                                </m:r>
                              </m:den>
                            </m:f>
                          </m:e>
                        </m:d>
                        <m:r>
                          <a:rPr lang="en-US" sz="1100" b="0" i="1">
                            <a:latin typeface="Cambria Math"/>
                          </a:rPr>
                          <m:t>−</m:t>
                        </m:r>
                        <m:f>
                          <m:f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e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m</m:t>
                                </m:r>
                              </m:sub>
                            </m:sSub>
                            <m: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)</m:t>
                            </m:r>
                            <m:sSup>
                              <m:sSup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sSub>
                                  <m:sSub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𝐿</m:t>
                                    </m:r>
                                  </m:e>
                                  <m:sub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𝑑</m:t>
                                    </m:r>
                                  </m:sub>
                                </m:s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𝐿</m:t>
                                    </m:r>
                                  </m:e>
                                  <m:sub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𝑡</m:t>
                                    </m:r>
                                  </m:sub>
                                </m:sSub>
                                <m: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</m:num>
                          <m:den>
                            <m: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6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9" name="TextBox 48"/>
            <xdr:cNvSpPr txBox="1"/>
          </xdr:nvSpPr>
          <xdr:spPr>
            <a:xfrm>
              <a:off x="628650" y="53082825"/>
              <a:ext cx="5924550" cy="5313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  <a:ea typeface="Cambria Math"/>
                </a:rPr>
                <a:t>∆_(</a:t>
              </a:r>
              <a:r>
                <a:rPr lang="en-US" sz="1100" b="0" i="0">
                  <a:latin typeface="Cambria Math"/>
                </a:rPr>
                <a:t>ps,28)−</a:t>
              </a:r>
              <a:r>
                <a:rPr lang="en-US" sz="1100" i="0">
                  <a:latin typeface="Cambria Math"/>
                </a:rPr>
                <a:t>((</a:t>
              </a:r>
              <a:r>
                <a:rPr lang="en-US" sz="1100" b="0" i="0">
                  <a:latin typeface="Cambria Math"/>
                </a:rPr>
                <a:t>P_28−P_365)/(𝐸_𝑐 I_g ))</a:t>
              </a:r>
              <a:r>
                <a:rPr lang="en-US" sz="1100" i="0">
                  <a:latin typeface="Cambria Math"/>
                </a:rPr>
                <a:t>[(</a:t>
              </a:r>
              <a:r>
                <a:rPr lang="en-US" sz="1100" b="0" i="0">
                  <a:latin typeface="Cambria Math"/>
                </a:rPr>
                <a:t>e_m 〖〖(L〗_m x12)〗^2)/8−(e_m−e_e )(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0.5L_m x12−𝐿_ℎ x12)^2/6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en-US" sz="1100" b="0" i="0">
                  <a:latin typeface="Cambria Math"/>
                </a:rPr>
                <a:t>−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(e_m)〖(𝐿_𝑑+𝐿_𝑡)〗^2)/6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]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742950</xdr:colOff>
      <xdr:row>271</xdr:row>
      <xdr:rowOff>114300</xdr:rowOff>
    </xdr:from>
    <xdr:ext cx="6124575" cy="5927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TextBox 49"/>
            <xdr:cNvSpPr txBox="1"/>
          </xdr:nvSpPr>
          <xdr:spPr>
            <a:xfrm>
              <a:off x="742950" y="55873650"/>
              <a:ext cx="6124575" cy="5927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000" b="0" i="1" u="none" baseline="0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000" b="0" i="0" u="none" baseline="0">
                            <a:latin typeface="Cambria Math"/>
                            <a:ea typeface="Cambria Math"/>
                          </a:rPr>
                          <m:t>∆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000" b="0" i="0" u="none" baseline="0">
                            <a:latin typeface="Cambria Math"/>
                          </a:rPr>
                          <m:t>cr</m:t>
                        </m:r>
                        <m:r>
                          <a:rPr lang="en-US" sz="1000" b="0" i="0" u="none" baseline="0">
                            <a:latin typeface="Cambria Math"/>
                          </a:rPr>
                          <m:t>,28</m:t>
                        </m:r>
                      </m:sub>
                    </m:sSub>
                    <m:r>
                      <a:rPr lang="en-US" sz="1000" b="0" i="0" u="none" baseline="0">
                        <a:latin typeface="Cambria Math"/>
                      </a:rPr>
                      <m:t>+</m:t>
                    </m:r>
                    <m:r>
                      <m:rPr>
                        <m:nor/>
                      </m:rPr>
                      <a:rPr lang="en-US" sz="1000" b="0" i="0" u="none" baseline="0">
                        <a:latin typeface="Symbol" panose="05050102010706020507" pitchFamily="18" charset="2"/>
                      </a:rPr>
                      <m:t>y</m:t>
                    </m:r>
                    <m:r>
                      <a:rPr lang="en-US" sz="1000" b="0" i="0" u="none">
                        <a:latin typeface="Cambria Math"/>
                      </a:rPr>
                      <m:t>(365,28)</m:t>
                    </m:r>
                    <m:d>
                      <m:dPr>
                        <m:begChr m:val="["/>
                        <m:endChr m:val="]"/>
                        <m:ctrlPr>
                          <a:rPr lang="en-US" sz="10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0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f>
                              <m:fPr>
                                <m:ctrlPr>
                                  <a:rPr lang="en-US" sz="10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n-US" sz="10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m:rPr>
                                        <m:sty m:val="p"/>
                                      </m:rPr>
                                      <a:rPr lang="en-US" sz="10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P</m:t>
                                    </m:r>
                                  </m:e>
                                  <m:sub>
                                    <m:r>
                                      <a:rPr lang="en-US" sz="10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28</m:t>
                                    </m:r>
                                  </m:sub>
                                </m:sSub>
                                <m:r>
                                  <a:rPr lang="en-US" sz="10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en-US" sz="10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m:rPr>
                                        <m:sty m:val="p"/>
                                      </m:rPr>
                                      <a:rPr lang="en-US" sz="10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P</m:t>
                                    </m:r>
                                  </m:e>
                                  <m:sub>
                                    <m:r>
                                      <a:rPr lang="en-US" sz="10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365</m:t>
                                    </m:r>
                                  </m:sub>
                                </m:sSub>
                              </m:num>
                              <m:den>
                                <m:r>
                                  <a:rPr lang="en-US" sz="10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den>
                            </m:f>
                          </m:num>
                          <m:den>
                            <m:sSub>
                              <m:sSubPr>
                                <m:ctrlPr>
                                  <a:rPr lang="en-US" sz="10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0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E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0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ci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en-US" sz="10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0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I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0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g</m:t>
                                </m:r>
                              </m:sub>
                            </m:sSub>
                          </m:den>
                        </m:f>
                        <m:d>
                          <m:dPr>
                            <m:ctrlPr>
                              <a:rPr lang="en-US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US" sz="10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n-US" sz="10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m:rPr>
                                        <m:sty m:val="p"/>
                                      </m:rPr>
                                      <a:rPr lang="en-US" sz="10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e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lang="en-US" sz="10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m</m:t>
                                    </m:r>
                                  </m:sub>
                                </m:sSub>
                                <m:sSup>
                                  <m:sSupPr>
                                    <m:ctrlPr>
                                      <a:rPr lang="en-US" sz="10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sSub>
                                      <m:sSubPr>
                                        <m:ctrlPr>
                                          <a:rPr lang="en-US" sz="10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sz="10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(</m:t>
                                        </m:r>
                                        <m:r>
                                          <m:rPr>
                                            <m:sty m:val="p"/>
                                          </m:rPr>
                                          <a:rPr lang="en-US" sz="10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L</m:t>
                                        </m:r>
                                      </m:e>
                                      <m:sub>
                                        <m:r>
                                          <m:rPr>
                                            <m:sty m:val="p"/>
                                          </m:rPr>
                                          <a:rPr lang="en-US" sz="10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m</m:t>
                                        </m:r>
                                      </m:sub>
                                    </m:sSub>
                                    <m:r>
                                      <m:rPr>
                                        <m:sty m:val="p"/>
                                      </m:rPr>
                                      <a:rPr lang="en-US" sz="10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x</m:t>
                                    </m:r>
                                    <m:r>
                                      <a:rPr lang="en-US" sz="10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12)</m:t>
                                    </m:r>
                                  </m:e>
                                  <m:sup>
                                    <m:r>
                                      <a:rPr lang="en-US" sz="10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p>
                                </m:sSup>
                              </m:num>
                              <m:den>
                                <m:r>
                                  <a:rPr lang="en-US" sz="10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8</m:t>
                                </m:r>
                              </m:den>
                            </m:f>
                            <m:r>
                              <a:rPr lang="en-US" sz="10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−</m:t>
                            </m:r>
                            <m:d>
                              <m:dPr>
                                <m:ctrlPr>
                                  <a:rPr lang="en-US" sz="1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en-US" sz="10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m:rPr>
                                        <m:sty m:val="p"/>
                                      </m:rPr>
                                      <a:rPr lang="en-US" sz="10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e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lang="en-US" sz="10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m</m:t>
                                    </m:r>
                                  </m:sub>
                                </m:sSub>
                                <m:r>
                                  <a:rPr lang="en-US" sz="10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sSub>
                                  <m:sSubPr>
                                    <m:ctrlPr>
                                      <a:rPr lang="en-US" sz="10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m:rPr>
                                        <m:sty m:val="p"/>
                                      </m:rPr>
                                      <a:rPr lang="en-US" sz="10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e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lang="en-US" sz="10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e</m:t>
                                    </m:r>
                                  </m:sub>
                                </m:sSub>
                              </m:e>
                            </m:d>
                            <m:d>
                              <m:dPr>
                                <m:ctrlPr>
                                  <a:rPr lang="en-US" sz="1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US" sz="10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sSup>
                                      <m:sSupPr>
                                        <m:ctrlPr>
                                          <a:rPr lang="en-US" sz="10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pPr>
                                      <m:e>
                                        <m:d>
                                          <m:dPr>
                                            <m:ctrlPr>
                                              <a:rPr lang="en-US" sz="10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r>
                                              <a:rPr lang="en-US" sz="1000" b="0" i="0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0.5</m:t>
                                            </m:r>
                                            <m:sSub>
                                              <m:sSubPr>
                                                <m:ctrlPr>
                                                  <a:rPr lang="en-US" sz="10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sSubPr>
                                              <m:e>
                                                <m:r>
                                                  <m:rPr>
                                                    <m:sty m:val="p"/>
                                                  </m:rPr>
                                                  <a:rPr lang="en-US" sz="1000" b="0" i="0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/>
                                                    <a:ea typeface="+mn-ea"/>
                                                    <a:cs typeface="+mn-cs"/>
                                                  </a:rPr>
                                                  <m:t>L</m:t>
                                                </m:r>
                                              </m:e>
                                              <m:sub>
                                                <m:r>
                                                  <m:rPr>
                                                    <m:sty m:val="p"/>
                                                  </m:rPr>
                                                  <a:rPr lang="en-US" sz="1000" b="0" i="0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/>
                                                    <a:ea typeface="+mn-ea"/>
                                                    <a:cs typeface="+mn-cs"/>
                                                  </a:rPr>
                                                  <m:t>m</m:t>
                                                </m:r>
                                              </m:sub>
                                            </m:sSub>
                                            <m:r>
                                              <m:rPr>
                                                <m:sty m:val="p"/>
                                              </m:rPr>
                                              <a:rPr lang="en-US" sz="1000" b="0" i="0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x</m:t>
                                            </m:r>
                                            <m:r>
                                              <a:rPr lang="en-US" sz="1000" b="0" i="0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12−</m:t>
                                            </m:r>
                                            <m:sSub>
                                              <m:sSubPr>
                                                <m:ctrlPr>
                                                  <a:rPr lang="en-US" sz="10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sSubPr>
                                              <m:e>
                                                <m:r>
                                                  <a:rPr lang="en-US" sz="10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/>
                                                    <a:ea typeface="+mn-ea"/>
                                                    <a:cs typeface="+mn-cs"/>
                                                  </a:rPr>
                                                  <m:t>𝐿</m:t>
                                                </m:r>
                                              </m:e>
                                              <m:sub>
                                                <m:r>
                                                  <a:rPr lang="en-US" sz="10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/>
                                                    <a:ea typeface="+mn-ea"/>
                                                    <a:cs typeface="+mn-cs"/>
                                                  </a:rPr>
                                                  <m:t>h</m:t>
                                                </m:r>
                                              </m:sub>
                                            </m:sSub>
                                            <m:r>
                                              <m:rPr>
                                                <m:sty m:val="p"/>
                                              </m:rPr>
                                              <a:rPr lang="en-US" sz="1000" b="0" i="0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x</m:t>
                                            </m:r>
                                            <m:r>
                                              <a:rPr lang="en-US" sz="1000" b="0" i="0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12</m:t>
                                            </m:r>
                                          </m:e>
                                        </m:d>
                                      </m:e>
                                      <m:sup>
                                        <m:r>
                                          <a:rPr lang="en-US" sz="10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2</m:t>
                                        </m:r>
                                      </m:sup>
                                    </m:sSup>
                                  </m:num>
                                  <m:den>
                                    <m:r>
                                      <a:rPr lang="en-US" sz="10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6</m:t>
                                    </m:r>
                                  </m:den>
                                </m:f>
                              </m:e>
                            </m:d>
                            <m:r>
                              <a:rPr lang="en-US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−</m:t>
                            </m:r>
                            <m:f>
                              <m:fPr>
                                <m:ctrlPr>
                                  <a:rPr lang="en-US" sz="1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US" sz="10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sSub>
                                  <m:sSubPr>
                                    <m:ctrlPr>
                                      <a:rPr lang="en-US" sz="10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m:rPr>
                                        <m:sty m:val="p"/>
                                      </m:rPr>
                                      <a:rPr lang="en-US" sz="10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e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lang="en-US" sz="10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m</m:t>
                                    </m:r>
                                  </m:sub>
                                </m:sSub>
                                <m:r>
                                  <a:rPr lang="en-US" sz="10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  <m:sSup>
                                  <m:sSupPr>
                                    <m:ctrlPr>
                                      <a:rPr lang="en-US" sz="10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r>
                                      <a:rPr lang="en-US" sz="10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sSub>
                                      <m:sSubPr>
                                        <m:ctrlPr>
                                          <a:rPr lang="en-US" sz="10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sz="10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𝐿</m:t>
                                        </m:r>
                                      </m:e>
                                      <m:sub>
                                        <m:r>
                                          <a:rPr lang="en-US" sz="10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𝑑</m:t>
                                        </m:r>
                                      </m:sub>
                                    </m:sSub>
                                    <m:r>
                                      <a:rPr lang="en-US" sz="10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+</m:t>
                                    </m:r>
                                    <m:sSub>
                                      <m:sSubPr>
                                        <m:ctrlPr>
                                          <a:rPr lang="en-US" sz="10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sz="10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𝐿</m:t>
                                        </m:r>
                                      </m:e>
                                      <m:sub>
                                        <m:r>
                                          <a:rPr lang="en-US" sz="10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𝑡</m:t>
                                        </m:r>
                                      </m:sub>
                                    </m:sSub>
                                    <m:r>
                                      <a:rPr lang="en-US" sz="10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)</m:t>
                                    </m:r>
                                  </m:e>
                                  <m:sup>
                                    <m:r>
                                      <a:rPr lang="en-US" sz="10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p>
                                </m:sSup>
                              </m:num>
                              <m:den>
                                <m:r>
                                  <a:rPr lang="en-US" sz="10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6</m:t>
                                </m:r>
                              </m:den>
                            </m:f>
                          </m:e>
                        </m:d>
                        <m:r>
                          <a:rPr lang="en-US" sz="1000" b="0" i="0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n-US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0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∆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0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sw</m:t>
                            </m:r>
                            <m:r>
                              <a:rPr lang="en-US" sz="10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,</m:t>
                            </m:r>
                            <m:r>
                              <m:rPr>
                                <m:sty m:val="p"/>
                              </m:rPr>
                              <a:rPr lang="en-US" sz="10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i</m:t>
                            </m:r>
                          </m:sub>
                        </m:sSub>
                      </m:e>
                    </m:d>
                  </m:oMath>
                </m:oMathPara>
              </a14:m>
              <a:endParaRPr lang="en-US" sz="1000" i="0" u="none"/>
            </a:p>
          </xdr:txBody>
        </xdr:sp>
      </mc:Choice>
      <mc:Fallback xmlns="">
        <xdr:sp macro="" textlink="">
          <xdr:nvSpPr>
            <xdr:cNvPr id="50" name="TextBox 49"/>
            <xdr:cNvSpPr txBox="1"/>
          </xdr:nvSpPr>
          <xdr:spPr>
            <a:xfrm>
              <a:off x="742950" y="55873650"/>
              <a:ext cx="6124575" cy="5927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000" b="0" i="0" u="none" baseline="0">
                  <a:latin typeface="Cambria Math"/>
                  <a:ea typeface="Cambria Math"/>
                </a:rPr>
                <a:t>∆_(</a:t>
              </a:r>
              <a:r>
                <a:rPr lang="en-US" sz="1000" b="0" i="0" u="none" baseline="0">
                  <a:latin typeface="Cambria Math"/>
                </a:rPr>
                <a:t>cr,28)+"y"</a:t>
              </a:r>
              <a:r>
                <a:rPr lang="en-US" sz="1000" b="0" i="0" u="none">
                  <a:latin typeface="Cambria Math"/>
                </a:rPr>
                <a:t>(365,28)</a:t>
              </a:r>
              <a:r>
                <a:rPr lang="en-US" sz="10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[((P_</a:t>
              </a:r>
              <a:r>
                <a:rPr lang="en-US" sz="10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28</a:t>
              </a:r>
              <a:r>
                <a:rPr lang="en-US" sz="10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+P_</a:t>
              </a:r>
              <a:r>
                <a:rPr lang="en-US" sz="10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365</a:t>
              </a:r>
              <a:r>
                <a:rPr lang="en-US" sz="10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)/2)/(E_ci I_g ) ((e_m 〖〖(L〗_m x12)〗^2)/8−(e_m−e_e )((0.5L_m x12−𝐿_ℎ x12)^2/6)−((e_m)〖(𝐿_𝑑+𝐿_𝑡)〗^2)/6)−∆_(sw,i) ]</a:t>
              </a:r>
              <a:endParaRPr lang="en-US" sz="1000" i="0" u="none"/>
            </a:p>
          </xdr:txBody>
        </xdr:sp>
      </mc:Fallback>
    </mc:AlternateContent>
    <xdr:clientData/>
  </xdr:oneCellAnchor>
  <xdr:oneCellAnchor>
    <xdr:from>
      <xdr:col>0</xdr:col>
      <xdr:colOff>819150</xdr:colOff>
      <xdr:row>277</xdr:row>
      <xdr:rowOff>9525</xdr:rowOff>
    </xdr:from>
    <xdr:ext cx="1847851" cy="27494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TextBox 50"/>
            <xdr:cNvSpPr txBox="1"/>
          </xdr:nvSpPr>
          <xdr:spPr>
            <a:xfrm>
              <a:off x="819150" y="56702325"/>
              <a:ext cx="1847851" cy="2749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i="0">
                            <a:latin typeface="Cambria Math"/>
                            <a:ea typeface="Cambria Math"/>
                          </a:rPr>
                          <m:t>∆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ps</m:t>
                        </m:r>
                        <m:r>
                          <a:rPr lang="en-US" sz="1100" b="0" i="0">
                            <a:latin typeface="Cambria Math"/>
                          </a:rPr>
                          <m:t>,365</m:t>
                        </m:r>
                      </m:sub>
                    </m:sSub>
                    <m:r>
                      <a:rPr lang="en-US" sz="1100" b="0" i="0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0">
                            <a:latin typeface="Cambria Math"/>
                            <a:ea typeface="Cambria Math"/>
                          </a:rPr>
                          <m:t>∆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sw</m:t>
                        </m:r>
                        <m:r>
                          <a:rPr lang="en-US" sz="1100" b="0" i="0">
                            <a:latin typeface="Cambria Math"/>
                          </a:rPr>
                          <m:t>,365</m:t>
                        </m:r>
                      </m:sub>
                    </m:sSub>
                    <m:r>
                      <a:rPr lang="en-US" sz="1100" b="0" i="0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0">
                            <a:latin typeface="Cambria Math"/>
                            <a:ea typeface="Cambria Math"/>
                          </a:rPr>
                          <m:t>∆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cr</m:t>
                        </m:r>
                        <m:r>
                          <a:rPr lang="en-US" sz="1100" b="0" i="0">
                            <a:latin typeface="Cambria Math"/>
                          </a:rPr>
                          <m:t>,365</m:t>
                        </m:r>
                      </m:sub>
                    </m:sSub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1" name="TextBox 50"/>
            <xdr:cNvSpPr txBox="1"/>
          </xdr:nvSpPr>
          <xdr:spPr>
            <a:xfrm>
              <a:off x="819150" y="56702325"/>
              <a:ext cx="1847851" cy="2749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  <a:ea typeface="Cambria Math"/>
                </a:rPr>
                <a:t>∆_(</a:t>
              </a:r>
              <a:r>
                <a:rPr lang="en-US" sz="1100" b="0" i="0">
                  <a:latin typeface="Cambria Math"/>
                </a:rPr>
                <a:t>ps,365)−</a:t>
              </a:r>
              <a:r>
                <a:rPr lang="en-US" sz="1100" b="0" i="0">
                  <a:latin typeface="Cambria Math"/>
                  <a:ea typeface="Cambria Math"/>
                </a:rPr>
                <a:t>∆_(</a:t>
              </a:r>
              <a:r>
                <a:rPr lang="en-US" sz="1100" b="0" i="0">
                  <a:latin typeface="Cambria Math"/>
                </a:rPr>
                <a:t>sw,365)+</a:t>
              </a:r>
              <a:r>
                <a:rPr lang="en-US" sz="1100" b="0" i="0">
                  <a:latin typeface="Cambria Math"/>
                  <a:ea typeface="Cambria Math"/>
                </a:rPr>
                <a:t>∆_(</a:t>
              </a:r>
              <a:r>
                <a:rPr lang="en-US" sz="1100" b="0" i="0">
                  <a:latin typeface="Cambria Math"/>
                </a:rPr>
                <a:t>cr,365)=</a:t>
              </a:r>
              <a:endParaRPr lang="en-US" sz="1100" i="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W329"/>
  <sheetViews>
    <sheetView tabSelected="1" workbookViewId="0">
      <selection activeCell="D13" sqref="D13"/>
    </sheetView>
  </sheetViews>
  <sheetFormatPr defaultColWidth="12.7109375" defaultRowHeight="15" x14ac:dyDescent="0.25"/>
  <cols>
    <col min="1" max="16384" width="12.7109375" style="3"/>
  </cols>
  <sheetData>
    <row r="1" spans="1:12" ht="23.25" x14ac:dyDescent="0.25">
      <c r="A1" s="141" t="s">
        <v>225</v>
      </c>
      <c r="B1" s="141"/>
      <c r="C1" s="141"/>
      <c r="D1" s="141"/>
      <c r="E1" s="141"/>
      <c r="F1" s="141"/>
      <c r="G1" s="141"/>
      <c r="H1" s="141"/>
      <c r="I1" s="20"/>
      <c r="J1" s="20"/>
    </row>
    <row r="2" spans="1:12" ht="24" thickBot="1" x14ac:dyDescent="0.3">
      <c r="A2" s="142" t="s">
        <v>224</v>
      </c>
      <c r="B2" s="142"/>
      <c r="C2" s="142"/>
      <c r="D2" s="142"/>
      <c r="E2" s="142"/>
      <c r="F2" s="142"/>
      <c r="G2" s="142"/>
      <c r="H2" s="142"/>
      <c r="I2" s="20"/>
      <c r="J2" s="20"/>
    </row>
    <row r="3" spans="1:12" ht="15" customHeight="1" x14ac:dyDescent="0.25">
      <c r="A3" s="40"/>
      <c r="B3" s="40"/>
      <c r="C3" s="39"/>
      <c r="D3" s="39"/>
      <c r="E3" s="39"/>
      <c r="F3" s="39"/>
      <c r="G3" s="39"/>
      <c r="H3" s="39"/>
      <c r="I3" s="39"/>
      <c r="J3" s="39"/>
    </row>
    <row r="4" spans="1:12" ht="15" customHeight="1" x14ac:dyDescent="0.25">
      <c r="A4" s="143" t="s">
        <v>85</v>
      </c>
      <c r="B4" s="143"/>
      <c r="C4" s="143"/>
      <c r="D4" s="143"/>
      <c r="E4" s="143"/>
      <c r="F4" s="143"/>
      <c r="G4" s="143"/>
      <c r="H4" s="143"/>
      <c r="I4" s="5"/>
      <c r="J4" s="5"/>
    </row>
    <row r="5" spans="1:12" ht="15" customHeight="1" x14ac:dyDescent="0.25">
      <c r="A5" s="143" t="s">
        <v>252</v>
      </c>
      <c r="B5" s="143"/>
      <c r="C5" s="143"/>
      <c r="D5" s="143"/>
      <c r="E5" s="143"/>
      <c r="F5" s="143"/>
      <c r="G5" s="143"/>
      <c r="H5" s="143"/>
      <c r="I5" s="5"/>
      <c r="J5" s="5"/>
    </row>
    <row r="6" spans="1:12" ht="15" customHeight="1" x14ac:dyDescent="0.25">
      <c r="A6" s="40"/>
      <c r="B6" s="40"/>
      <c r="C6" s="39"/>
      <c r="D6" s="39"/>
      <c r="E6" s="39"/>
      <c r="F6" s="39"/>
      <c r="G6" s="39"/>
      <c r="H6" s="39"/>
      <c r="I6" s="39"/>
      <c r="J6" s="39"/>
    </row>
    <row r="7" spans="1:12" ht="15" customHeight="1" x14ac:dyDescent="0.25">
      <c r="B7" s="96" t="s">
        <v>170</v>
      </c>
      <c r="C7" s="138"/>
      <c r="D7" s="139"/>
      <c r="E7" s="96" t="s">
        <v>186</v>
      </c>
      <c r="F7" s="138"/>
      <c r="G7" s="139"/>
      <c r="H7" s="40"/>
      <c r="I7" s="40"/>
      <c r="J7" s="40"/>
      <c r="K7" s="19"/>
      <c r="L7" s="19"/>
    </row>
    <row r="8" spans="1:12" ht="15" customHeight="1" x14ac:dyDescent="0.25">
      <c r="B8" s="96" t="s">
        <v>171</v>
      </c>
      <c r="C8" s="138"/>
      <c r="D8" s="139"/>
      <c r="E8" s="96" t="s">
        <v>187</v>
      </c>
      <c r="F8" s="138"/>
      <c r="G8" s="139"/>
      <c r="H8" s="40"/>
      <c r="I8" s="40"/>
      <c r="J8" s="40"/>
      <c r="K8" s="19"/>
      <c r="L8" s="19"/>
    </row>
    <row r="9" spans="1:12" ht="15" customHeight="1" x14ac:dyDescent="0.25">
      <c r="B9" s="96" t="s">
        <v>172</v>
      </c>
      <c r="C9" s="138"/>
      <c r="D9" s="139"/>
      <c r="E9" s="96" t="s">
        <v>188</v>
      </c>
      <c r="F9" s="138"/>
      <c r="G9" s="139"/>
      <c r="H9" s="40"/>
      <c r="I9" s="40"/>
      <c r="J9" s="40"/>
      <c r="K9" s="19"/>
      <c r="L9" s="19"/>
    </row>
    <row r="10" spans="1:12" ht="15" customHeight="1" x14ac:dyDescent="0.25">
      <c r="B10" s="96" t="s">
        <v>173</v>
      </c>
      <c r="C10" s="138"/>
      <c r="D10" s="139"/>
      <c r="E10" s="96" t="s">
        <v>189</v>
      </c>
      <c r="F10" s="138"/>
      <c r="G10" s="139"/>
      <c r="H10" s="40"/>
      <c r="I10" s="40"/>
      <c r="J10" s="40"/>
      <c r="K10" s="19"/>
      <c r="L10" s="19"/>
    </row>
    <row r="11" spans="1:12" ht="15" customHeight="1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x14ac:dyDescent="0.25">
      <c r="A12" s="41" t="s">
        <v>7</v>
      </c>
      <c r="B12" s="3" t="s">
        <v>17</v>
      </c>
      <c r="F12" s="144" t="s">
        <v>24</v>
      </c>
      <c r="G12" s="144"/>
      <c r="H12" s="144"/>
    </row>
    <row r="13" spans="1:12" ht="18" x14ac:dyDescent="0.25">
      <c r="A13" s="42">
        <v>80</v>
      </c>
      <c r="B13" s="3" t="s">
        <v>137</v>
      </c>
      <c r="F13" s="151" t="s">
        <v>1</v>
      </c>
      <c r="G13" s="152"/>
      <c r="H13" s="107">
        <f>LOOKUP(A12,'Girder Section Properties'!B6:Q6,'Girder Section Properties'!B7:Q7)</f>
        <v>646.5</v>
      </c>
    </row>
    <row r="14" spans="1:12" ht="18" x14ac:dyDescent="0.25">
      <c r="A14" s="43">
        <v>6000</v>
      </c>
      <c r="B14" s="3" t="s">
        <v>14</v>
      </c>
      <c r="F14" s="151" t="s">
        <v>2</v>
      </c>
      <c r="G14" s="152"/>
      <c r="H14" s="108">
        <f>LOOKUP(A12,'Girder Section Properties'!B6:Q6,'Girder Section Properties'!B8:Q8)</f>
        <v>86912</v>
      </c>
    </row>
    <row r="15" spans="1:12" ht="18" x14ac:dyDescent="0.25">
      <c r="A15" s="43">
        <v>8000</v>
      </c>
      <c r="B15" s="3" t="s">
        <v>15</v>
      </c>
      <c r="F15" s="151" t="s">
        <v>3</v>
      </c>
      <c r="G15" s="152"/>
      <c r="H15" s="109">
        <f>LOOKUP(A12,'Girder Section Properties'!B6:Q6,'Girder Section Properties'!B9:Q9)</f>
        <v>15.686</v>
      </c>
    </row>
    <row r="16" spans="1:12" ht="18" x14ac:dyDescent="0.25">
      <c r="A16" s="43">
        <v>0.6</v>
      </c>
      <c r="B16" s="3" t="s">
        <v>138</v>
      </c>
      <c r="F16" s="151" t="s">
        <v>4</v>
      </c>
      <c r="G16" s="152"/>
      <c r="H16" s="107">
        <f>LOOKUP(A12,'Girder Section Properties'!B6:Q6,'Girder Section Properties'!B10:Q10)</f>
        <v>673.5</v>
      </c>
    </row>
    <row r="17" spans="1:23" x14ac:dyDescent="0.25">
      <c r="A17" s="153">
        <v>70</v>
      </c>
      <c r="B17" s="155" t="s">
        <v>83</v>
      </c>
      <c r="C17" s="155"/>
      <c r="D17" s="155"/>
      <c r="F17" s="151" t="s">
        <v>0</v>
      </c>
      <c r="G17" s="152"/>
      <c r="H17" s="109">
        <f>LOOKUP(A12,'Girder Section Properties'!B6:Q6,'Girder Section Properties'!B11:Q11)</f>
        <v>3.4849999999999999</v>
      </c>
    </row>
    <row r="18" spans="1:23" x14ac:dyDescent="0.25">
      <c r="A18" s="154"/>
      <c r="B18" s="155"/>
      <c r="C18" s="155"/>
      <c r="D18" s="155"/>
      <c r="G18" s="14"/>
    </row>
    <row r="19" spans="1:23" x14ac:dyDescent="0.25">
      <c r="A19" s="42">
        <v>24.030999999999999</v>
      </c>
      <c r="B19" s="156" t="s">
        <v>84</v>
      </c>
      <c r="C19" s="157"/>
      <c r="D19" s="157"/>
      <c r="G19" s="14"/>
    </row>
    <row r="20" spans="1:23" ht="15.75" customHeight="1" x14ac:dyDescent="0.25">
      <c r="G20" s="14"/>
    </row>
    <row r="21" spans="1:23" x14ac:dyDescent="0.25">
      <c r="A21" s="52" t="s">
        <v>82</v>
      </c>
      <c r="B21" s="10" t="s">
        <v>81</v>
      </c>
      <c r="C21" s="10"/>
      <c r="D21" s="10"/>
      <c r="E21" s="10"/>
      <c r="F21" s="10"/>
      <c r="G21" s="10"/>
    </row>
    <row r="22" spans="1:23" x14ac:dyDescent="0.25">
      <c r="G22" s="14"/>
    </row>
    <row r="23" spans="1:23" x14ac:dyDescent="0.25">
      <c r="A23" s="135" t="s">
        <v>86</v>
      </c>
      <c r="B23" s="136"/>
      <c r="C23" s="137"/>
      <c r="E23" s="135" t="s">
        <v>86</v>
      </c>
      <c r="F23" s="136"/>
      <c r="G23" s="137"/>
    </row>
    <row r="24" spans="1:23" ht="15" customHeight="1" x14ac:dyDescent="0.25">
      <c r="A24" s="145" t="s">
        <v>131</v>
      </c>
      <c r="B24" s="146"/>
      <c r="C24" s="147"/>
      <c r="E24" s="148" t="s">
        <v>87</v>
      </c>
      <c r="F24" s="149"/>
      <c r="G24" s="150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5" customHeight="1" x14ac:dyDescent="0.25">
      <c r="A25" s="44" t="s">
        <v>88</v>
      </c>
      <c r="B25" s="44" t="s">
        <v>95</v>
      </c>
      <c r="C25" s="44" t="s">
        <v>92</v>
      </c>
      <c r="D25" s="19"/>
      <c r="E25" s="44" t="s">
        <v>88</v>
      </c>
      <c r="F25" s="44" t="s">
        <v>95</v>
      </c>
      <c r="G25" s="44" t="s">
        <v>92</v>
      </c>
      <c r="I25" s="1"/>
      <c r="J25" s="1"/>
      <c r="K25" s="22"/>
      <c r="L25" s="5"/>
      <c r="M25" s="1"/>
      <c r="N25" s="1"/>
      <c r="O25" s="22"/>
      <c r="P25" s="5"/>
      <c r="Q25" s="1"/>
      <c r="R25" s="1"/>
      <c r="S25" s="22"/>
      <c r="T25" s="5"/>
      <c r="U25" s="1"/>
      <c r="V25" s="1"/>
      <c r="W25" s="22"/>
    </row>
    <row r="26" spans="1:23" ht="15" customHeight="1" x14ac:dyDescent="0.25">
      <c r="A26" s="45" t="s">
        <v>96</v>
      </c>
      <c r="B26" s="45" t="s">
        <v>89</v>
      </c>
      <c r="C26" s="45" t="s">
        <v>93</v>
      </c>
      <c r="D26" s="19"/>
      <c r="E26" s="45" t="s">
        <v>96</v>
      </c>
      <c r="F26" s="45" t="s">
        <v>89</v>
      </c>
      <c r="G26" s="45" t="s">
        <v>93</v>
      </c>
      <c r="I26" s="1"/>
      <c r="J26" s="1"/>
      <c r="K26" s="22"/>
      <c r="L26" s="5"/>
      <c r="M26" s="1"/>
      <c r="N26" s="1"/>
      <c r="O26" s="22"/>
      <c r="P26" s="5"/>
      <c r="Q26" s="1"/>
      <c r="R26" s="1"/>
      <c r="S26" s="22"/>
      <c r="T26" s="5"/>
      <c r="U26" s="1"/>
      <c r="V26" s="1"/>
      <c r="W26" s="22"/>
    </row>
    <row r="27" spans="1:23" ht="15" customHeight="1" x14ac:dyDescent="0.25">
      <c r="A27" s="46" t="s">
        <v>90</v>
      </c>
      <c r="B27" s="46" t="s">
        <v>94</v>
      </c>
      <c r="C27" s="46" t="s">
        <v>91</v>
      </c>
      <c r="D27" s="6"/>
      <c r="E27" s="46" t="s">
        <v>90</v>
      </c>
      <c r="F27" s="46" t="s">
        <v>245</v>
      </c>
      <c r="G27" s="46" t="s">
        <v>91</v>
      </c>
      <c r="I27" s="1"/>
      <c r="J27" s="1"/>
      <c r="K27" s="22"/>
      <c r="L27" s="5"/>
      <c r="M27" s="1"/>
      <c r="N27" s="1"/>
      <c r="O27" s="22"/>
      <c r="P27" s="5"/>
      <c r="Q27" s="1"/>
      <c r="R27" s="1"/>
      <c r="S27" s="22"/>
      <c r="T27" s="5"/>
      <c r="U27" s="1"/>
      <c r="V27" s="1"/>
      <c r="W27" s="22"/>
    </row>
    <row r="28" spans="1:23" x14ac:dyDescent="0.25">
      <c r="A28" s="47">
        <v>1</v>
      </c>
      <c r="B28" s="48">
        <v>12</v>
      </c>
      <c r="C28" s="48">
        <v>2</v>
      </c>
      <c r="E28" s="49">
        <v>1</v>
      </c>
      <c r="F28" s="50">
        <v>8</v>
      </c>
      <c r="G28" s="50">
        <v>2</v>
      </c>
      <c r="I28" s="1"/>
      <c r="J28" s="7"/>
      <c r="K28" s="7"/>
      <c r="L28" s="5"/>
      <c r="M28" s="1"/>
      <c r="N28" s="7"/>
      <c r="O28" s="7"/>
      <c r="P28" s="5"/>
      <c r="Q28" s="1"/>
      <c r="R28" s="7"/>
      <c r="S28" s="7"/>
      <c r="T28" s="5"/>
      <c r="U28" s="1"/>
      <c r="V28" s="7"/>
      <c r="W28" s="7"/>
    </row>
    <row r="29" spans="1:23" ht="14.25" customHeight="1" x14ac:dyDescent="0.25">
      <c r="A29" s="47">
        <v>2</v>
      </c>
      <c r="B29" s="48">
        <v>8</v>
      </c>
      <c r="C29" s="48">
        <v>4</v>
      </c>
      <c r="E29" s="49">
        <v>2</v>
      </c>
      <c r="F29" s="50">
        <v>8</v>
      </c>
      <c r="G29" s="50">
        <v>4</v>
      </c>
      <c r="I29" s="1"/>
      <c r="J29" s="7"/>
      <c r="K29" s="7"/>
      <c r="L29" s="5"/>
      <c r="M29" s="1"/>
      <c r="N29" s="7"/>
      <c r="O29" s="7"/>
      <c r="P29" s="5"/>
      <c r="Q29" s="1"/>
      <c r="R29" s="7"/>
      <c r="S29" s="7"/>
      <c r="T29" s="5"/>
      <c r="U29" s="1"/>
      <c r="V29" s="7"/>
      <c r="W29" s="7"/>
    </row>
    <row r="30" spans="1:23" x14ac:dyDescent="0.25">
      <c r="A30" s="47">
        <v>3</v>
      </c>
      <c r="B30" s="48">
        <v>2</v>
      </c>
      <c r="C30" s="48">
        <v>6</v>
      </c>
      <c r="E30" s="49">
        <v>3</v>
      </c>
      <c r="F30" s="50">
        <v>2</v>
      </c>
      <c r="G30" s="50">
        <v>6</v>
      </c>
      <c r="I30" s="1"/>
      <c r="J30" s="7"/>
      <c r="K30" s="7"/>
      <c r="L30" s="5"/>
      <c r="M30" s="1"/>
      <c r="N30" s="7"/>
      <c r="O30" s="7"/>
      <c r="P30" s="5"/>
      <c r="Q30" s="1"/>
      <c r="R30" s="7"/>
      <c r="S30" s="7"/>
      <c r="T30" s="5"/>
      <c r="U30" s="1"/>
      <c r="V30" s="7"/>
      <c r="W30" s="7"/>
    </row>
    <row r="31" spans="1:23" x14ac:dyDescent="0.25">
      <c r="A31" s="47">
        <v>4</v>
      </c>
      <c r="B31" s="48">
        <v>2</v>
      </c>
      <c r="C31" s="48">
        <v>30</v>
      </c>
      <c r="E31" s="49">
        <v>4</v>
      </c>
      <c r="F31" s="50">
        <v>2</v>
      </c>
      <c r="G31" s="50">
        <v>30</v>
      </c>
      <c r="I31" s="1"/>
      <c r="J31" s="7"/>
      <c r="K31" s="7"/>
      <c r="L31" s="5"/>
      <c r="M31" s="1"/>
      <c r="N31" s="7"/>
      <c r="O31" s="7"/>
      <c r="P31" s="5"/>
      <c r="Q31" s="1"/>
      <c r="R31" s="7"/>
      <c r="S31" s="7"/>
      <c r="T31" s="5"/>
      <c r="U31" s="1"/>
      <c r="V31" s="7"/>
      <c r="W31" s="7"/>
    </row>
    <row r="32" spans="1:23" x14ac:dyDescent="0.25">
      <c r="A32" s="47">
        <v>5</v>
      </c>
      <c r="B32" s="48">
        <v>0</v>
      </c>
      <c r="C32" s="48">
        <v>0</v>
      </c>
      <c r="E32" s="49">
        <v>5</v>
      </c>
      <c r="F32" s="50">
        <v>0</v>
      </c>
      <c r="G32" s="50">
        <v>0</v>
      </c>
      <c r="I32" s="1"/>
      <c r="J32" s="7"/>
      <c r="K32" s="8"/>
      <c r="L32" s="5"/>
      <c r="M32" s="1"/>
      <c r="N32" s="7"/>
      <c r="O32" s="8"/>
      <c r="P32" s="5"/>
      <c r="Q32" s="1"/>
      <c r="R32" s="7"/>
      <c r="S32" s="7"/>
      <c r="T32" s="5"/>
      <c r="U32" s="1"/>
      <c r="V32" s="7"/>
      <c r="W32" s="7"/>
    </row>
    <row r="33" spans="1:23" x14ac:dyDescent="0.25">
      <c r="A33" s="47">
        <v>6</v>
      </c>
      <c r="B33" s="48">
        <v>0</v>
      </c>
      <c r="C33" s="48">
        <v>0</v>
      </c>
      <c r="E33" s="49">
        <v>6</v>
      </c>
      <c r="F33" s="50">
        <v>0</v>
      </c>
      <c r="G33" s="50">
        <v>0</v>
      </c>
      <c r="I33" s="1"/>
      <c r="J33" s="7"/>
      <c r="K33" s="8"/>
      <c r="L33" s="5"/>
      <c r="M33" s="1"/>
      <c r="N33" s="7"/>
      <c r="O33" s="8"/>
      <c r="P33" s="5"/>
      <c r="Q33" s="1"/>
      <c r="R33" s="7"/>
      <c r="S33" s="7"/>
      <c r="T33" s="5"/>
      <c r="U33" s="1"/>
      <c r="V33" s="7"/>
      <c r="W33" s="7"/>
    </row>
    <row r="34" spans="1:23" x14ac:dyDescent="0.25">
      <c r="A34" s="47">
        <v>7</v>
      </c>
      <c r="B34" s="48">
        <v>0</v>
      </c>
      <c r="C34" s="48">
        <v>0</v>
      </c>
      <c r="E34" s="49">
        <v>7</v>
      </c>
      <c r="F34" s="50">
        <v>0</v>
      </c>
      <c r="G34" s="50">
        <v>0</v>
      </c>
      <c r="I34" s="1"/>
      <c r="J34" s="7"/>
      <c r="K34" s="8"/>
      <c r="L34" s="5"/>
      <c r="M34" s="1"/>
      <c r="N34" s="7"/>
      <c r="O34" s="8"/>
      <c r="P34" s="5"/>
      <c r="Q34" s="1"/>
      <c r="R34" s="7"/>
      <c r="S34" s="7"/>
      <c r="T34" s="5"/>
      <c r="U34" s="1"/>
      <c r="V34" s="7"/>
      <c r="W34" s="7"/>
    </row>
    <row r="35" spans="1:23" x14ac:dyDescent="0.25">
      <c r="A35" s="47">
        <v>8</v>
      </c>
      <c r="B35" s="48">
        <v>0</v>
      </c>
      <c r="C35" s="48">
        <v>0</v>
      </c>
      <c r="E35" s="49">
        <v>8</v>
      </c>
      <c r="F35" s="50">
        <v>0</v>
      </c>
      <c r="G35" s="50">
        <v>0</v>
      </c>
      <c r="I35" s="1"/>
      <c r="J35" s="7"/>
      <c r="K35" s="8"/>
      <c r="L35" s="5"/>
      <c r="M35" s="1"/>
      <c r="N35" s="7"/>
      <c r="O35" s="8"/>
      <c r="P35" s="5"/>
      <c r="Q35" s="1"/>
      <c r="R35" s="7"/>
      <c r="S35" s="7"/>
      <c r="T35" s="5"/>
      <c r="U35" s="1"/>
      <c r="V35" s="7"/>
      <c r="W35" s="7"/>
    </row>
    <row r="36" spans="1:23" x14ac:dyDescent="0.25">
      <c r="A36" s="47">
        <v>9</v>
      </c>
      <c r="B36" s="48">
        <v>0</v>
      </c>
      <c r="C36" s="48">
        <v>0</v>
      </c>
      <c r="E36" s="49">
        <v>9</v>
      </c>
      <c r="F36" s="50">
        <v>0</v>
      </c>
      <c r="G36" s="50">
        <v>0</v>
      </c>
      <c r="I36" s="1"/>
      <c r="J36" s="7"/>
      <c r="K36" s="8"/>
      <c r="L36" s="5"/>
      <c r="M36" s="1"/>
      <c r="N36" s="7"/>
      <c r="O36" s="8"/>
      <c r="P36" s="5"/>
      <c r="Q36" s="1"/>
      <c r="R36" s="7"/>
      <c r="S36" s="7"/>
      <c r="T36" s="5"/>
      <c r="U36" s="1"/>
      <c r="V36" s="7"/>
      <c r="W36" s="7"/>
    </row>
    <row r="37" spans="1:23" x14ac:dyDescent="0.25">
      <c r="A37" s="47">
        <v>10</v>
      </c>
      <c r="B37" s="48">
        <v>0</v>
      </c>
      <c r="C37" s="48">
        <v>0</v>
      </c>
      <c r="E37" s="49">
        <v>10</v>
      </c>
      <c r="F37" s="50">
        <v>0</v>
      </c>
      <c r="G37" s="50">
        <v>0</v>
      </c>
      <c r="I37" s="1"/>
      <c r="J37" s="7"/>
      <c r="K37" s="8"/>
      <c r="L37" s="5"/>
      <c r="M37" s="1"/>
      <c r="N37" s="7"/>
      <c r="O37" s="8"/>
      <c r="P37" s="5"/>
      <c r="Q37" s="1"/>
      <c r="R37" s="7"/>
      <c r="S37" s="7"/>
      <c r="T37" s="5"/>
      <c r="U37" s="1"/>
      <c r="V37" s="7"/>
      <c r="W37" s="7"/>
    </row>
    <row r="38" spans="1:23" x14ac:dyDescent="0.25">
      <c r="A38" s="47">
        <v>11</v>
      </c>
      <c r="B38" s="48">
        <v>0</v>
      </c>
      <c r="C38" s="48">
        <v>0</v>
      </c>
      <c r="E38" s="49">
        <v>11</v>
      </c>
      <c r="F38" s="50">
        <v>0</v>
      </c>
      <c r="G38" s="50">
        <v>0</v>
      </c>
      <c r="I38" s="1"/>
      <c r="J38" s="7"/>
      <c r="K38" s="8"/>
      <c r="L38" s="5"/>
      <c r="M38" s="1"/>
      <c r="N38" s="7"/>
      <c r="O38" s="8"/>
      <c r="P38" s="5"/>
      <c r="Q38" s="1"/>
      <c r="R38" s="7"/>
      <c r="S38" s="7"/>
      <c r="T38" s="5"/>
      <c r="U38" s="1"/>
      <c r="V38" s="7"/>
      <c r="W38" s="7"/>
    </row>
    <row r="39" spans="1:23" x14ac:dyDescent="0.25">
      <c r="A39" s="47">
        <v>12</v>
      </c>
      <c r="B39" s="48">
        <v>0</v>
      </c>
      <c r="C39" s="48">
        <v>0</v>
      </c>
      <c r="E39" s="49">
        <v>12</v>
      </c>
      <c r="F39" s="50">
        <v>0</v>
      </c>
      <c r="G39" s="50">
        <v>0</v>
      </c>
      <c r="I39" s="1"/>
      <c r="J39" s="7"/>
      <c r="K39" s="8"/>
      <c r="L39" s="5"/>
      <c r="M39" s="1"/>
      <c r="N39" s="7"/>
      <c r="O39" s="8"/>
      <c r="P39" s="5"/>
      <c r="Q39" s="1"/>
      <c r="R39" s="7"/>
      <c r="S39" s="7"/>
      <c r="T39" s="5"/>
      <c r="U39" s="1"/>
      <c r="V39" s="7"/>
      <c r="W39" s="7"/>
    </row>
    <row r="40" spans="1:23" x14ac:dyDescent="0.25">
      <c r="A40" s="47">
        <v>13</v>
      </c>
      <c r="B40" s="48">
        <v>0</v>
      </c>
      <c r="C40" s="48">
        <v>0</v>
      </c>
      <c r="E40" s="49">
        <v>13</v>
      </c>
      <c r="F40" s="50">
        <v>0</v>
      </c>
      <c r="G40" s="50">
        <v>0</v>
      </c>
      <c r="I40" s="1"/>
      <c r="J40" s="7"/>
      <c r="K40" s="7"/>
      <c r="L40" s="5"/>
      <c r="M40" s="1"/>
      <c r="N40" s="7"/>
      <c r="O40" s="7"/>
      <c r="P40" s="5"/>
      <c r="Q40" s="1"/>
      <c r="R40" s="7"/>
      <c r="S40" s="7"/>
      <c r="T40" s="5"/>
      <c r="U40" s="1"/>
      <c r="V40" s="7"/>
      <c r="W40" s="7"/>
    </row>
    <row r="41" spans="1:23" x14ac:dyDescent="0.25">
      <c r="A41" s="47">
        <v>14</v>
      </c>
      <c r="B41" s="48">
        <v>0</v>
      </c>
      <c r="C41" s="48">
        <v>0</v>
      </c>
      <c r="E41" s="49">
        <v>14</v>
      </c>
      <c r="F41" s="50">
        <v>0</v>
      </c>
      <c r="G41" s="50">
        <v>0</v>
      </c>
      <c r="I41" s="1"/>
      <c r="J41" s="9"/>
      <c r="K41" s="9"/>
      <c r="L41" s="5"/>
      <c r="M41" s="1"/>
      <c r="N41" s="9"/>
      <c r="O41" s="9"/>
      <c r="P41" s="5"/>
      <c r="Q41" s="1"/>
      <c r="R41" s="9"/>
      <c r="S41" s="9"/>
      <c r="T41" s="5"/>
      <c r="U41" s="1"/>
      <c r="V41" s="9"/>
      <c r="W41" s="9"/>
    </row>
    <row r="42" spans="1:23" x14ac:dyDescent="0.25">
      <c r="A42" s="47">
        <v>15</v>
      </c>
      <c r="B42" s="48">
        <v>0</v>
      </c>
      <c r="C42" s="48">
        <v>0</v>
      </c>
      <c r="E42" s="49">
        <v>15</v>
      </c>
      <c r="F42" s="50">
        <v>0</v>
      </c>
      <c r="G42" s="50">
        <v>0</v>
      </c>
      <c r="I42" s="1"/>
      <c r="J42" s="9"/>
      <c r="K42" s="9"/>
      <c r="L42" s="5"/>
      <c r="M42" s="1"/>
      <c r="N42" s="9"/>
      <c r="O42" s="9"/>
      <c r="P42" s="5"/>
      <c r="Q42" s="1"/>
      <c r="R42" s="9"/>
      <c r="S42" s="9"/>
      <c r="T42" s="5"/>
      <c r="U42" s="1"/>
      <c r="V42" s="9"/>
      <c r="W42" s="9"/>
    </row>
    <row r="43" spans="1:23" x14ac:dyDescent="0.25">
      <c r="A43" s="2" t="s">
        <v>253</v>
      </c>
    </row>
    <row r="44" spans="1:23" x14ac:dyDescent="0.25">
      <c r="A44" s="3" t="s">
        <v>246</v>
      </c>
    </row>
    <row r="45" spans="1:23" x14ac:dyDescent="0.25">
      <c r="A45" s="2" t="s">
        <v>247</v>
      </c>
    </row>
    <row r="46" spans="1:23" x14ac:dyDescent="0.25">
      <c r="A46" s="2" t="s">
        <v>248</v>
      </c>
    </row>
    <row r="47" spans="1:23" x14ac:dyDescent="0.25">
      <c r="A47" s="2"/>
    </row>
    <row r="48" spans="1:23" x14ac:dyDescent="0.25">
      <c r="A48" s="2" t="s">
        <v>249</v>
      </c>
    </row>
    <row r="49" spans="1:8" x14ac:dyDescent="0.25">
      <c r="A49" s="2" t="s">
        <v>250</v>
      </c>
    </row>
    <row r="50" spans="1:8" x14ac:dyDescent="0.25">
      <c r="A50" s="2" t="s">
        <v>251</v>
      </c>
    </row>
    <row r="52" spans="1:8" x14ac:dyDescent="0.25">
      <c r="A52" s="50">
        <v>84</v>
      </c>
      <c r="B52" s="4" t="s">
        <v>139</v>
      </c>
      <c r="C52" s="4"/>
      <c r="D52" s="4"/>
      <c r="E52" s="4"/>
      <c r="F52" s="4"/>
      <c r="G52" s="4"/>
    </row>
    <row r="54" spans="1:8" x14ac:dyDescent="0.25">
      <c r="A54" s="140" t="s">
        <v>244</v>
      </c>
      <c r="B54" s="140"/>
      <c r="C54" s="140"/>
      <c r="D54" s="11"/>
      <c r="E54" s="11"/>
      <c r="F54" s="12"/>
      <c r="G54" s="4"/>
    </row>
    <row r="55" spans="1:8" ht="18" x14ac:dyDescent="0.25">
      <c r="A55" s="112" t="s">
        <v>78</v>
      </c>
      <c r="B55" s="113">
        <f>B269</f>
        <v>1.2558893347227573</v>
      </c>
      <c r="C55" s="57" t="s">
        <v>140</v>
      </c>
      <c r="D55" s="13"/>
      <c r="E55" s="13"/>
      <c r="F55" s="13"/>
      <c r="G55" s="4"/>
    </row>
    <row r="56" spans="1:8" ht="18" x14ac:dyDescent="0.25">
      <c r="A56" s="114" t="s">
        <v>79</v>
      </c>
      <c r="B56" s="115">
        <f>B285</f>
        <v>1.7249422093633795</v>
      </c>
      <c r="C56" s="116" t="s">
        <v>140</v>
      </c>
      <c r="D56" s="160" t="s">
        <v>226</v>
      </c>
      <c r="E56" s="160"/>
      <c r="F56" s="160"/>
      <c r="G56" s="160"/>
      <c r="H56" s="160"/>
    </row>
    <row r="57" spans="1:8" ht="18" x14ac:dyDescent="0.25">
      <c r="A57" s="112" t="s">
        <v>80</v>
      </c>
      <c r="B57" s="113">
        <f>B301</f>
        <v>2.1415858745447878</v>
      </c>
      <c r="C57" s="57" t="s">
        <v>140</v>
      </c>
      <c r="D57" s="161" t="s">
        <v>227</v>
      </c>
      <c r="E57" s="161"/>
      <c r="F57" s="161"/>
      <c r="G57" s="161"/>
      <c r="H57" s="161"/>
    </row>
    <row r="59" spans="1:8" ht="23.25" x14ac:dyDescent="0.25">
      <c r="A59" s="141" t="s">
        <v>225</v>
      </c>
      <c r="B59" s="141"/>
      <c r="C59" s="141"/>
      <c r="D59" s="141"/>
      <c r="E59" s="141"/>
      <c r="F59" s="141"/>
      <c r="G59" s="141"/>
      <c r="H59" s="141"/>
    </row>
    <row r="60" spans="1:8" ht="24" thickBot="1" x14ac:dyDescent="0.3">
      <c r="A60" s="142" t="s">
        <v>224</v>
      </c>
      <c r="B60" s="142"/>
      <c r="C60" s="142"/>
      <c r="D60" s="142"/>
      <c r="E60" s="142"/>
      <c r="F60" s="142"/>
      <c r="G60" s="142"/>
      <c r="H60" s="142"/>
    </row>
    <row r="62" spans="1:8" x14ac:dyDescent="0.25">
      <c r="A62" s="23" t="s">
        <v>228</v>
      </c>
    </row>
    <row r="64" spans="1:8" ht="17.25" x14ac:dyDescent="0.25">
      <c r="A64" s="52" t="s">
        <v>230</v>
      </c>
      <c r="B64" s="10" t="s">
        <v>232</v>
      </c>
    </row>
    <row r="66" spans="2:10" x14ac:dyDescent="0.25">
      <c r="B66" s="110"/>
      <c r="C66" s="110"/>
      <c r="D66" s="120" t="s">
        <v>235</v>
      </c>
      <c r="E66" s="117" t="s">
        <v>235</v>
      </c>
    </row>
    <row r="67" spans="2:10" ht="17.25" x14ac:dyDescent="0.25">
      <c r="B67" s="111" t="s">
        <v>234</v>
      </c>
      <c r="C67" s="111" t="s">
        <v>238</v>
      </c>
      <c r="D67" s="121" t="s">
        <v>236</v>
      </c>
      <c r="E67" s="118" t="s">
        <v>236</v>
      </c>
    </row>
    <row r="68" spans="2:10" x14ac:dyDescent="0.25">
      <c r="B68" s="99" t="s">
        <v>233</v>
      </c>
      <c r="C68" s="99" t="s">
        <v>239</v>
      </c>
      <c r="D68" s="122" t="s">
        <v>237</v>
      </c>
      <c r="E68" s="119" t="s">
        <v>237</v>
      </c>
    </row>
    <row r="69" spans="2:10" x14ac:dyDescent="0.25">
      <c r="B69" s="103">
        <v>0</v>
      </c>
      <c r="C69" s="103">
        <v>0</v>
      </c>
      <c r="D69" s="123">
        <v>0</v>
      </c>
      <c r="E69" s="125">
        <v>0</v>
      </c>
    </row>
    <row r="70" spans="2:10" x14ac:dyDescent="0.25">
      <c r="B70" s="124">
        <f>B69+0.05</f>
        <v>0.05</v>
      </c>
      <c r="C70" s="134">
        <v>0.159</v>
      </c>
      <c r="D70" s="123">
        <f>C70*$B$56</f>
        <v>0.27426581128877736</v>
      </c>
      <c r="E70" s="126" t="str">
        <f>IF($A$64="10th"," ",D70/12)</f>
        <v xml:space="preserve"> </v>
      </c>
    </row>
    <row r="71" spans="2:10" x14ac:dyDescent="0.25">
      <c r="B71" s="124">
        <f t="shared" ref="B71:B89" si="0">B70+0.05</f>
        <v>0.1</v>
      </c>
      <c r="C71" s="134">
        <v>0.314</v>
      </c>
      <c r="D71" s="123">
        <f>C71*$B$56</f>
        <v>0.54163185374010114</v>
      </c>
      <c r="E71" s="126">
        <f>D71/12</f>
        <v>4.5135987811675098E-2</v>
      </c>
    </row>
    <row r="72" spans="2:10" x14ac:dyDescent="0.25">
      <c r="B72" s="124">
        <f t="shared" si="0"/>
        <v>0.15000000000000002</v>
      </c>
      <c r="C72" s="134">
        <v>0.46</v>
      </c>
      <c r="D72" s="123">
        <f t="shared" ref="D72:D88" si="1">C72*$B$56</f>
        <v>0.79347341630715462</v>
      </c>
      <c r="E72" s="126" t="str">
        <f>IF($A$64="10th"," ",D72/12)</f>
        <v xml:space="preserve"> </v>
      </c>
    </row>
    <row r="73" spans="2:10" x14ac:dyDescent="0.25">
      <c r="B73" s="124">
        <f t="shared" si="0"/>
        <v>0.2</v>
      </c>
      <c r="C73" s="134">
        <v>0.59399999999999997</v>
      </c>
      <c r="D73" s="123">
        <f t="shared" si="1"/>
        <v>1.0246156723618474</v>
      </c>
      <c r="E73" s="126">
        <f>D73/12</f>
        <v>8.538463936348728E-2</v>
      </c>
    </row>
    <row r="74" spans="2:10" x14ac:dyDescent="0.25">
      <c r="B74" s="124">
        <f t="shared" si="0"/>
        <v>0.25</v>
      </c>
      <c r="C74" s="134">
        <v>0.71299999999999997</v>
      </c>
      <c r="D74" s="123">
        <f t="shared" si="1"/>
        <v>1.2298837952760895</v>
      </c>
      <c r="E74" s="126" t="str">
        <f>IF($A$64="10th"," ",D74/12)</f>
        <v xml:space="preserve"> </v>
      </c>
    </row>
    <row r="75" spans="2:10" x14ac:dyDescent="0.25">
      <c r="B75" s="124">
        <f>B74+0.05</f>
        <v>0.3</v>
      </c>
      <c r="C75" s="134">
        <v>0.81299999999999994</v>
      </c>
      <c r="D75" s="123">
        <f t="shared" si="1"/>
        <v>1.4023780162124275</v>
      </c>
      <c r="E75" s="126">
        <f>D75/12</f>
        <v>0.11686483468436897</v>
      </c>
    </row>
    <row r="76" spans="2:10" x14ac:dyDescent="0.25">
      <c r="B76" s="124">
        <f t="shared" si="0"/>
        <v>0.35</v>
      </c>
      <c r="C76" s="134">
        <v>0.89400000000000002</v>
      </c>
      <c r="D76" s="123">
        <f t="shared" si="1"/>
        <v>1.5420983351708613</v>
      </c>
      <c r="E76" s="126" t="str">
        <f>IF($A$64="10th"," ",D76/12)</f>
        <v xml:space="preserve"> </v>
      </c>
    </row>
    <row r="77" spans="2:10" x14ac:dyDescent="0.25">
      <c r="B77" s="124">
        <f t="shared" si="0"/>
        <v>0.39999999999999997</v>
      </c>
      <c r="C77" s="134">
        <v>0.95199999999999996</v>
      </c>
      <c r="D77" s="123">
        <f t="shared" si="1"/>
        <v>1.6421449833139372</v>
      </c>
      <c r="E77" s="126">
        <f>D77/12</f>
        <v>0.13684541527616143</v>
      </c>
    </row>
    <row r="78" spans="2:10" x14ac:dyDescent="0.25">
      <c r="B78" s="124">
        <f t="shared" si="0"/>
        <v>0.44999999999999996</v>
      </c>
      <c r="C78" s="134">
        <v>0.98799999999999999</v>
      </c>
      <c r="D78" s="123">
        <f t="shared" si="1"/>
        <v>1.7042429028510189</v>
      </c>
      <c r="E78" s="128" t="str">
        <f>IF($A$64="10th"," ",D78/12)</f>
        <v xml:space="preserve"> </v>
      </c>
      <c r="F78" s="158" t="s">
        <v>240</v>
      </c>
      <c r="G78" s="159"/>
      <c r="H78" s="5"/>
    </row>
    <row r="79" spans="2:10" x14ac:dyDescent="0.25">
      <c r="B79" s="124">
        <f t="shared" si="0"/>
        <v>0.49999999999999994</v>
      </c>
      <c r="C79" s="134">
        <v>1</v>
      </c>
      <c r="D79" s="123">
        <f t="shared" si="1"/>
        <v>1.7249422093633795</v>
      </c>
      <c r="E79" s="128">
        <f>D79/12</f>
        <v>0.14374518411361495</v>
      </c>
      <c r="F79" s="129" t="s">
        <v>241</v>
      </c>
      <c r="G79" s="130"/>
      <c r="H79" s="127"/>
      <c r="I79" s="127"/>
      <c r="J79" s="127"/>
    </row>
    <row r="80" spans="2:10" x14ac:dyDescent="0.25">
      <c r="B80" s="124">
        <f t="shared" si="0"/>
        <v>0.54999999999999993</v>
      </c>
      <c r="C80" s="134">
        <v>0.98799999999999999</v>
      </c>
      <c r="D80" s="123">
        <f t="shared" si="1"/>
        <v>1.7042429028510189</v>
      </c>
      <c r="E80" s="128" t="str">
        <f>IF($A$64="10th"," ",D80/12)</f>
        <v xml:space="preserve"> </v>
      </c>
      <c r="F80" s="131" t="s">
        <v>242</v>
      </c>
      <c r="G80" s="132"/>
      <c r="H80" s="127"/>
      <c r="I80" s="127"/>
      <c r="J80" s="127"/>
    </row>
    <row r="81" spans="2:5" x14ac:dyDescent="0.25">
      <c r="B81" s="124">
        <f t="shared" si="0"/>
        <v>0.6</v>
      </c>
      <c r="C81" s="134">
        <v>0.95199999999999996</v>
      </c>
      <c r="D81" s="123">
        <f t="shared" si="1"/>
        <v>1.6421449833139372</v>
      </c>
      <c r="E81" s="126">
        <f>D81/12</f>
        <v>0.13684541527616143</v>
      </c>
    </row>
    <row r="82" spans="2:5" x14ac:dyDescent="0.25">
      <c r="B82" s="124">
        <f t="shared" si="0"/>
        <v>0.65</v>
      </c>
      <c r="C82" s="134">
        <v>0.89400000000000002</v>
      </c>
      <c r="D82" s="123">
        <f t="shared" si="1"/>
        <v>1.5420983351708613</v>
      </c>
      <c r="E82" s="126" t="str">
        <f>IF($A$64="10th"," ",D82/12)</f>
        <v xml:space="preserve"> </v>
      </c>
    </row>
    <row r="83" spans="2:5" x14ac:dyDescent="0.25">
      <c r="B83" s="124">
        <f t="shared" si="0"/>
        <v>0.70000000000000007</v>
      </c>
      <c r="C83" s="134">
        <v>0.81299999999999994</v>
      </c>
      <c r="D83" s="123">
        <f t="shared" si="1"/>
        <v>1.4023780162124275</v>
      </c>
      <c r="E83" s="126">
        <f>D83/12</f>
        <v>0.11686483468436897</v>
      </c>
    </row>
    <row r="84" spans="2:5" x14ac:dyDescent="0.25">
      <c r="B84" s="124">
        <f t="shared" si="0"/>
        <v>0.75000000000000011</v>
      </c>
      <c r="C84" s="134">
        <v>0.71299999999999997</v>
      </c>
      <c r="D84" s="123">
        <f t="shared" si="1"/>
        <v>1.2298837952760895</v>
      </c>
      <c r="E84" s="126" t="str">
        <f>IF($A$64="10th"," ",D84/12)</f>
        <v xml:space="preserve"> </v>
      </c>
    </row>
    <row r="85" spans="2:5" x14ac:dyDescent="0.25">
      <c r="B85" s="124">
        <f t="shared" si="0"/>
        <v>0.80000000000000016</v>
      </c>
      <c r="C85" s="134">
        <v>0.59399999999999997</v>
      </c>
      <c r="D85" s="123">
        <f t="shared" si="1"/>
        <v>1.0246156723618474</v>
      </c>
      <c r="E85" s="126">
        <f>D85/12</f>
        <v>8.538463936348728E-2</v>
      </c>
    </row>
    <row r="86" spans="2:5" x14ac:dyDescent="0.25">
      <c r="B86" s="124">
        <f t="shared" si="0"/>
        <v>0.8500000000000002</v>
      </c>
      <c r="C86" s="134">
        <v>0.46</v>
      </c>
      <c r="D86" s="123">
        <f t="shared" si="1"/>
        <v>0.79347341630715462</v>
      </c>
      <c r="E86" s="126" t="str">
        <f>IF($A$64="10th"," ",D86/12)</f>
        <v xml:space="preserve"> </v>
      </c>
    </row>
    <row r="87" spans="2:5" x14ac:dyDescent="0.25">
      <c r="B87" s="124">
        <f t="shared" si="0"/>
        <v>0.90000000000000024</v>
      </c>
      <c r="C87" s="134">
        <v>0.314</v>
      </c>
      <c r="D87" s="123">
        <f t="shared" si="1"/>
        <v>0.54163185374010114</v>
      </c>
      <c r="E87" s="126">
        <f>D87/12</f>
        <v>4.5135987811675098E-2</v>
      </c>
    </row>
    <row r="88" spans="2:5" x14ac:dyDescent="0.25">
      <c r="B88" s="124">
        <f t="shared" si="0"/>
        <v>0.95000000000000029</v>
      </c>
      <c r="C88" s="134">
        <v>0.159</v>
      </c>
      <c r="D88" s="123">
        <f t="shared" si="1"/>
        <v>0.27426581128877736</v>
      </c>
      <c r="E88" s="126" t="str">
        <f>IF($A$64="10th"," ",D88/12)</f>
        <v xml:space="preserve"> </v>
      </c>
    </row>
    <row r="89" spans="2:5" x14ac:dyDescent="0.25">
      <c r="B89" s="124">
        <f t="shared" si="0"/>
        <v>1.0000000000000002</v>
      </c>
      <c r="C89" s="133">
        <v>0</v>
      </c>
      <c r="D89" s="123">
        <v>0</v>
      </c>
      <c r="E89" s="125">
        <v>0</v>
      </c>
    </row>
    <row r="116" spans="1:6" ht="15" customHeight="1" x14ac:dyDescent="0.25"/>
    <row r="117" spans="1:6" s="19" customFormat="1" ht="15" hidden="1" customHeight="1" x14ac:dyDescent="0.25">
      <c r="A117" s="23" t="s">
        <v>178</v>
      </c>
    </row>
    <row r="118" spans="1:6" s="19" customFormat="1" ht="15" hidden="1" customHeight="1" x14ac:dyDescent="0.25"/>
    <row r="119" spans="1:6" s="19" customFormat="1" ht="18" hidden="1" customHeight="1" x14ac:dyDescent="0.25">
      <c r="A119" s="19" t="s">
        <v>169</v>
      </c>
    </row>
    <row r="120" spans="1:6" s="19" customFormat="1" ht="15" hidden="1" customHeight="1" x14ac:dyDescent="0.25"/>
    <row r="121" spans="1:6" s="19" customFormat="1" ht="18" hidden="1" customHeight="1" x14ac:dyDescent="0.25">
      <c r="A121" s="17" t="s">
        <v>99</v>
      </c>
      <c r="B121" s="35">
        <f>A14</f>
        <v>6000</v>
      </c>
      <c r="C121" s="24" t="s">
        <v>20</v>
      </c>
      <c r="D121" s="17" t="s">
        <v>100</v>
      </c>
      <c r="E121" s="17">
        <f>1.25*B121</f>
        <v>7500</v>
      </c>
      <c r="F121" s="24" t="s">
        <v>20</v>
      </c>
    </row>
    <row r="122" spans="1:6" s="19" customFormat="1" ht="18" hidden="1" customHeight="1" x14ac:dyDescent="0.25">
      <c r="A122" s="17" t="s">
        <v>101</v>
      </c>
      <c r="B122" s="35">
        <f>A15</f>
        <v>8000</v>
      </c>
      <c r="C122" s="24" t="s">
        <v>20</v>
      </c>
      <c r="D122" s="17" t="s">
        <v>102</v>
      </c>
      <c r="E122" s="17">
        <f>1.45*B122</f>
        <v>11600</v>
      </c>
      <c r="F122" s="24" t="s">
        <v>20</v>
      </c>
    </row>
    <row r="123" spans="1:6" s="19" customFormat="1" ht="15" hidden="1" customHeight="1" x14ac:dyDescent="0.25"/>
    <row r="124" spans="1:6" s="19" customFormat="1" ht="18" hidden="1" customHeight="1" x14ac:dyDescent="0.25">
      <c r="A124" s="19" t="s">
        <v>141</v>
      </c>
    </row>
    <row r="125" spans="1:6" s="19" customFormat="1" ht="15" hidden="1" customHeight="1" x14ac:dyDescent="0.25"/>
    <row r="126" spans="1:6" s="19" customFormat="1" ht="18" hidden="1" customHeight="1" x14ac:dyDescent="0.25">
      <c r="A126" s="17" t="s">
        <v>103</v>
      </c>
      <c r="B126" s="34">
        <f>0.85*33*(150^1.5)*SQRT(E121)</f>
        <v>4462727.6727635963</v>
      </c>
      <c r="C126" s="24" t="s">
        <v>20</v>
      </c>
    </row>
    <row r="127" spans="1:6" s="19" customFormat="1" ht="18" hidden="1" customHeight="1" x14ac:dyDescent="0.25">
      <c r="A127" s="17" t="s">
        <v>104</v>
      </c>
      <c r="B127" s="34">
        <f>0.85*33*(150^1.5)*SQRT(E122)</f>
        <v>5550073.6819433291</v>
      </c>
      <c r="C127" s="24" t="s">
        <v>20</v>
      </c>
    </row>
    <row r="128" spans="1:6" s="19" customFormat="1" ht="15" hidden="1" customHeight="1" x14ac:dyDescent="0.25"/>
    <row r="129" spans="1:4" s="19" customFormat="1" ht="15" hidden="1" customHeight="1" x14ac:dyDescent="0.25">
      <c r="A129" s="19" t="s">
        <v>19</v>
      </c>
    </row>
    <row r="130" spans="1:4" s="19" customFormat="1" ht="15" hidden="1" customHeight="1" x14ac:dyDescent="0.25"/>
    <row r="131" spans="1:4" s="19" customFormat="1" ht="18" hidden="1" customHeight="1" x14ac:dyDescent="0.25">
      <c r="A131" s="17" t="s">
        <v>105</v>
      </c>
      <c r="B131" s="25">
        <f>A13</f>
        <v>80</v>
      </c>
      <c r="C131" s="19" t="s">
        <v>135</v>
      </c>
    </row>
    <row r="132" spans="1:4" s="19" customFormat="1" ht="18" hidden="1" customHeight="1" x14ac:dyDescent="0.25">
      <c r="A132" s="17" t="s">
        <v>142</v>
      </c>
      <c r="B132" s="38">
        <f>H16</f>
        <v>673.5</v>
      </c>
      <c r="C132" s="19" t="s">
        <v>143</v>
      </c>
    </row>
    <row r="133" spans="1:4" s="19" customFormat="1" ht="18" hidden="1" customHeight="1" x14ac:dyDescent="0.25">
      <c r="A133" s="17" t="s">
        <v>144</v>
      </c>
      <c r="B133" s="25">
        <f>A19</f>
        <v>24.030999999999999</v>
      </c>
      <c r="C133" s="19" t="s">
        <v>145</v>
      </c>
    </row>
    <row r="134" spans="1:4" s="19" customFormat="1" ht="18" hidden="1" customHeight="1" x14ac:dyDescent="0.25">
      <c r="A134" s="17" t="s">
        <v>106</v>
      </c>
      <c r="B134" s="34">
        <f>(((H16+A19)*B131^2)/8)*12</f>
        <v>6696297.5999999996</v>
      </c>
      <c r="C134" s="19" t="s">
        <v>136</v>
      </c>
    </row>
    <row r="135" spans="1:4" s="19" customFormat="1" ht="15" hidden="1" customHeight="1" x14ac:dyDescent="0.25"/>
    <row r="136" spans="1:4" s="19" customFormat="1" ht="15" hidden="1" customHeight="1" x14ac:dyDescent="0.25"/>
    <row r="137" spans="1:4" s="19" customFormat="1" ht="18" hidden="1" customHeight="1" x14ac:dyDescent="0.25">
      <c r="A137" s="19" t="s">
        <v>107</v>
      </c>
    </row>
    <row r="138" spans="1:4" s="19" customFormat="1" ht="15" hidden="1" customHeight="1" x14ac:dyDescent="0.25"/>
    <row r="139" spans="1:4" s="19" customFormat="1" ht="18" hidden="1" customHeight="1" x14ac:dyDescent="0.25">
      <c r="A139" s="17" t="s">
        <v>108</v>
      </c>
      <c r="B139" s="17">
        <f>SUM(B28:B42)</f>
        <v>24</v>
      </c>
      <c r="C139" s="19" t="s">
        <v>13</v>
      </c>
    </row>
    <row r="140" spans="1:4" s="19" customFormat="1" ht="18" hidden="1" customHeight="1" x14ac:dyDescent="0.25">
      <c r="A140" s="17" t="s">
        <v>12</v>
      </c>
      <c r="B140" s="26">
        <f>((B28*C28)+(B29*C29)+(B30*C30)+(B31*C31)+(B32*C32)+(B33*C33)+(B34*C34)+(B35*C35)+(B36*C36)+(B37*C37)+(B38*C38)+(B39*C39)+(B40*C40)+(B41*C41)+(B42*C42))/B139</f>
        <v>5.333333333333333</v>
      </c>
      <c r="C140" s="27" t="s">
        <v>146</v>
      </c>
    </row>
    <row r="141" spans="1:4" s="19" customFormat="1" ht="18" hidden="1" customHeight="1" x14ac:dyDescent="0.25">
      <c r="A141" s="17" t="s">
        <v>11</v>
      </c>
      <c r="B141" s="26">
        <f>H15-B140</f>
        <v>10.352666666666668</v>
      </c>
      <c r="C141" s="27" t="s">
        <v>147</v>
      </c>
    </row>
    <row r="142" spans="1:4" s="19" customFormat="1" ht="15" hidden="1" customHeight="1" x14ac:dyDescent="0.25">
      <c r="A142" s="17"/>
      <c r="C142" s="26"/>
      <c r="D142" s="27"/>
    </row>
    <row r="143" spans="1:4" s="19" customFormat="1" ht="18" hidden="1" customHeight="1" x14ac:dyDescent="0.25">
      <c r="A143" s="17" t="s">
        <v>109</v>
      </c>
      <c r="B143" s="17">
        <f>SUM(F28:F42)</f>
        <v>20</v>
      </c>
      <c r="C143" s="19" t="s">
        <v>132</v>
      </c>
      <c r="D143" s="27"/>
    </row>
    <row r="144" spans="1:4" s="19" customFormat="1" ht="18" hidden="1" customHeight="1" x14ac:dyDescent="0.25">
      <c r="A144" s="17" t="s">
        <v>16</v>
      </c>
      <c r="B144" s="26">
        <f>((F28*G28)+(F29*G29)+(F30*G30)+(F31*G31)+(F32*G32)+(F33*G33)+(F34*G34)+(F35*G35)+(F36*G36)+(F37*G37)+(F38*G38)+(F39*G39)+(F40*G40)+(F41*G41)+(F42*G42))/B143</f>
        <v>6</v>
      </c>
      <c r="C144" s="27" t="s">
        <v>148</v>
      </c>
      <c r="D144" s="27"/>
    </row>
    <row r="145" spans="1:10" s="19" customFormat="1" ht="18" hidden="1" customHeight="1" x14ac:dyDescent="0.25">
      <c r="A145" s="17" t="s">
        <v>110</v>
      </c>
      <c r="B145" s="26">
        <f>H15-B144</f>
        <v>9.6859999999999999</v>
      </c>
      <c r="C145" s="27" t="s">
        <v>149</v>
      </c>
    </row>
    <row r="146" spans="1:10" s="19" customFormat="1" ht="15" hidden="1" customHeight="1" x14ac:dyDescent="0.25">
      <c r="D146" s="27"/>
    </row>
    <row r="147" spans="1:10" s="19" customFormat="1" ht="15" hidden="1" customHeight="1" x14ac:dyDescent="0.25">
      <c r="A147" s="19" t="s">
        <v>18</v>
      </c>
    </row>
    <row r="148" spans="1:10" s="19" customFormat="1" ht="15" hidden="1" customHeight="1" x14ac:dyDescent="0.25"/>
    <row r="149" spans="1:10" s="19" customFormat="1" ht="18" hidden="1" customHeight="1" x14ac:dyDescent="0.25">
      <c r="A149" s="17" t="s">
        <v>150</v>
      </c>
      <c r="B149" s="17">
        <f>IF(A16=0.5,0.153,0.217)</f>
        <v>0.217</v>
      </c>
      <c r="C149" s="19" t="s">
        <v>151</v>
      </c>
    </row>
    <row r="150" spans="1:10" s="19" customFormat="1" ht="18" hidden="1" customHeight="1" x14ac:dyDescent="0.25">
      <c r="A150" s="17" t="s">
        <v>111</v>
      </c>
      <c r="B150" s="17">
        <f>B149*B139</f>
        <v>5.2080000000000002</v>
      </c>
      <c r="C150" s="19" t="s">
        <v>152</v>
      </c>
    </row>
    <row r="151" spans="1:10" s="19" customFormat="1" ht="18" hidden="1" customHeight="1" x14ac:dyDescent="0.25">
      <c r="A151" s="17" t="s">
        <v>112</v>
      </c>
      <c r="B151" s="17">
        <v>270000</v>
      </c>
      <c r="C151" s="19" t="s">
        <v>153</v>
      </c>
    </row>
    <row r="152" spans="1:10" s="19" customFormat="1" ht="18" hidden="1" customHeight="1" x14ac:dyDescent="0.25">
      <c r="A152" s="17" t="s">
        <v>113</v>
      </c>
      <c r="B152" s="17">
        <f>0.75*B151*B150</f>
        <v>1054620</v>
      </c>
      <c r="C152" s="19" t="s">
        <v>133</v>
      </c>
    </row>
    <row r="153" spans="1:10" s="19" customFormat="1" ht="15" hidden="1" customHeight="1" x14ac:dyDescent="0.25"/>
    <row r="154" spans="1:10" s="19" customFormat="1" ht="15" hidden="1" customHeight="1" x14ac:dyDescent="0.25">
      <c r="A154" s="19" t="s">
        <v>46</v>
      </c>
    </row>
    <row r="155" spans="1:10" s="19" customFormat="1" ht="18" hidden="1" customHeight="1" x14ac:dyDescent="0.25">
      <c r="A155" s="17" t="s">
        <v>154</v>
      </c>
      <c r="B155" s="19">
        <v>28500000</v>
      </c>
      <c r="C155" s="19" t="s">
        <v>155</v>
      </c>
    </row>
    <row r="156" spans="1:10" s="19" customFormat="1" ht="15" hidden="1" customHeight="1" x14ac:dyDescent="0.25"/>
    <row r="157" spans="1:10" s="19" customFormat="1" ht="15" hidden="1" customHeight="1" x14ac:dyDescent="0.25">
      <c r="A157" s="51" t="s">
        <v>21</v>
      </c>
      <c r="B157" s="51"/>
      <c r="C157" s="51"/>
      <c r="D157" s="51"/>
      <c r="E157" s="51"/>
      <c r="F157" s="51"/>
      <c r="G157" s="51"/>
    </row>
    <row r="158" spans="1:10" s="19" customFormat="1" ht="18" hidden="1" customHeight="1" x14ac:dyDescent="0.25">
      <c r="A158" s="17" t="s">
        <v>114</v>
      </c>
      <c r="B158" s="19">
        <f>0.9*B152</f>
        <v>949158</v>
      </c>
      <c r="C158" s="24" t="s">
        <v>133</v>
      </c>
    </row>
    <row r="159" spans="1:10" s="19" customFormat="1" ht="18" hidden="1" customHeight="1" x14ac:dyDescent="0.25">
      <c r="A159" s="17" t="s">
        <v>116</v>
      </c>
      <c r="B159" s="26">
        <f>((B158/$H$13)+((B158*$B$141^2)/$H$14))-($B$134*$B$141/$H$14)</f>
        <v>1840.9858580953853</v>
      </c>
      <c r="C159" s="36" t="s">
        <v>20</v>
      </c>
    </row>
    <row r="160" spans="1:10" s="19" customFormat="1" ht="18" hidden="1" customHeight="1" x14ac:dyDescent="0.25">
      <c r="A160" s="18" t="s">
        <v>118</v>
      </c>
      <c r="C160" s="26">
        <f>(B155/B126)*B159</f>
        <v>11756.956911338262</v>
      </c>
      <c r="D160" s="36" t="s">
        <v>20</v>
      </c>
      <c r="H160" s="18"/>
      <c r="J160" s="36"/>
    </row>
    <row r="161" spans="1:10" s="19" customFormat="1" ht="15" hidden="1" customHeight="1" x14ac:dyDescent="0.25">
      <c r="A161" s="18"/>
      <c r="B161" s="26"/>
      <c r="C161" s="36"/>
      <c r="D161" s="32"/>
      <c r="E161" s="26"/>
      <c r="F161" s="36"/>
      <c r="H161" s="18"/>
      <c r="J161" s="36"/>
    </row>
    <row r="162" spans="1:10" s="19" customFormat="1" ht="15" hidden="1" customHeight="1" x14ac:dyDescent="0.25">
      <c r="A162" s="51" t="s">
        <v>22</v>
      </c>
      <c r="B162" s="51"/>
      <c r="C162" s="51"/>
      <c r="D162" s="51"/>
      <c r="E162" s="51"/>
      <c r="F162" s="51"/>
      <c r="G162" s="51"/>
      <c r="H162" s="18"/>
      <c r="J162" s="36"/>
    </row>
    <row r="163" spans="1:10" s="19" customFormat="1" ht="18" hidden="1" customHeight="1" x14ac:dyDescent="0.25">
      <c r="A163" s="17" t="s">
        <v>115</v>
      </c>
      <c r="B163" s="33">
        <f>B152-(C160*B150)</f>
        <v>993389.76840575028</v>
      </c>
      <c r="C163" s="24" t="s">
        <v>133</v>
      </c>
      <c r="H163" s="18"/>
      <c r="J163" s="36"/>
    </row>
    <row r="164" spans="1:10" s="19" customFormat="1" ht="18" hidden="1" customHeight="1" x14ac:dyDescent="0.25">
      <c r="A164" s="31" t="s">
        <v>116</v>
      </c>
      <c r="B164" s="26">
        <f>((B163/$H$13)+((B163*$B$141^2)/$H$14))-($B$134*$B$141/$H$14)</f>
        <v>1963.9486450510983</v>
      </c>
      <c r="C164" s="36" t="s">
        <v>20</v>
      </c>
      <c r="J164" s="36"/>
    </row>
    <row r="165" spans="1:10" s="19" customFormat="1" ht="18" hidden="1" customHeight="1" x14ac:dyDescent="0.25">
      <c r="A165" s="32" t="s">
        <v>118</v>
      </c>
      <c r="B165" s="26">
        <f>(B155/B126)*B164</f>
        <v>12542.225402988717</v>
      </c>
      <c r="C165" s="36" t="s">
        <v>20</v>
      </c>
      <c r="H165" s="18"/>
      <c r="J165" s="36"/>
    </row>
    <row r="166" spans="1:10" s="19" customFormat="1" ht="15" hidden="1" customHeight="1" x14ac:dyDescent="0.25">
      <c r="A166" s="32"/>
      <c r="D166" s="32"/>
      <c r="E166" s="26"/>
      <c r="F166" s="36"/>
      <c r="H166" s="18"/>
      <c r="J166" s="36"/>
    </row>
    <row r="167" spans="1:10" s="19" customFormat="1" ht="15" hidden="1" customHeight="1" x14ac:dyDescent="0.25">
      <c r="A167" s="51" t="s">
        <v>45</v>
      </c>
      <c r="B167" s="51"/>
      <c r="C167" s="51"/>
      <c r="D167" s="51"/>
      <c r="E167" s="51"/>
      <c r="F167" s="51"/>
      <c r="G167" s="51"/>
      <c r="H167" s="18"/>
      <c r="J167" s="36"/>
    </row>
    <row r="168" spans="1:10" s="19" customFormat="1" ht="18" hidden="1" customHeight="1" x14ac:dyDescent="0.25">
      <c r="A168" s="17" t="s">
        <v>115</v>
      </c>
      <c r="B168" s="34">
        <f>B152-(B165*B150)</f>
        <v>989300.09010123473</v>
      </c>
      <c r="C168" s="24" t="s">
        <v>133</v>
      </c>
      <c r="H168" s="18"/>
      <c r="J168" s="36"/>
    </row>
    <row r="169" spans="1:10" s="19" customFormat="1" ht="18" hidden="1" customHeight="1" x14ac:dyDescent="0.25">
      <c r="A169" s="17" t="s">
        <v>117</v>
      </c>
      <c r="B169" s="34">
        <f>B168/B150</f>
        <v>189957.77459701127</v>
      </c>
      <c r="C169" s="36" t="s">
        <v>20</v>
      </c>
      <c r="H169" s="18"/>
      <c r="J169" s="36"/>
    </row>
    <row r="170" spans="1:10" s="19" customFormat="1" ht="15" hidden="1" customHeight="1" x14ac:dyDescent="0.25">
      <c r="A170" s="18"/>
      <c r="B170" s="36"/>
      <c r="C170" s="32"/>
      <c r="E170" s="26"/>
      <c r="F170" s="36"/>
      <c r="H170" s="18"/>
      <c r="J170" s="36"/>
    </row>
    <row r="171" spans="1:10" s="19" customFormat="1" ht="15" hidden="1" customHeight="1" x14ac:dyDescent="0.25">
      <c r="A171" s="18"/>
      <c r="B171" s="26"/>
      <c r="C171" s="36"/>
      <c r="D171" s="32"/>
      <c r="E171" s="26"/>
      <c r="F171" s="36"/>
      <c r="H171" s="18"/>
      <c r="J171" s="36"/>
    </row>
    <row r="172" spans="1:10" s="19" customFormat="1" ht="15" hidden="1" customHeight="1" x14ac:dyDescent="0.25">
      <c r="A172" s="19" t="s">
        <v>47</v>
      </c>
      <c r="B172" s="17"/>
    </row>
    <row r="173" spans="1:10" s="19" customFormat="1" ht="15" hidden="1" customHeight="1" x14ac:dyDescent="0.25">
      <c r="B173" s="17"/>
    </row>
    <row r="174" spans="1:10" s="19" customFormat="1" ht="15" hidden="1" customHeight="1" x14ac:dyDescent="0.25">
      <c r="A174" s="24" t="s">
        <v>25</v>
      </c>
    </row>
    <row r="175" spans="1:10" s="19" customFormat="1" ht="18" hidden="1" customHeight="1" x14ac:dyDescent="0.25">
      <c r="A175" s="17" t="s">
        <v>119</v>
      </c>
      <c r="B175" s="26">
        <f>1.45-0.13*H17</f>
        <v>0.99695</v>
      </c>
    </row>
    <row r="176" spans="1:10" s="19" customFormat="1" ht="15" hidden="1" customHeight="1" x14ac:dyDescent="0.25">
      <c r="A176" s="17"/>
    </row>
    <row r="177" spans="1:3" s="19" customFormat="1" ht="15" hidden="1" customHeight="1" x14ac:dyDescent="0.25">
      <c r="A177" s="24" t="s">
        <v>26</v>
      </c>
    </row>
    <row r="178" spans="1:3" s="19" customFormat="1" ht="18" hidden="1" customHeight="1" x14ac:dyDescent="0.25">
      <c r="A178" s="17" t="s">
        <v>120</v>
      </c>
      <c r="B178" s="26">
        <f>1.56-0.008*A17</f>
        <v>1</v>
      </c>
    </row>
    <row r="179" spans="1:3" s="19" customFormat="1" ht="15" hidden="1" customHeight="1" x14ac:dyDescent="0.25">
      <c r="A179" s="17"/>
    </row>
    <row r="180" spans="1:3" s="19" customFormat="1" ht="15" hidden="1" customHeight="1" x14ac:dyDescent="0.25">
      <c r="A180" s="24" t="s">
        <v>156</v>
      </c>
    </row>
    <row r="181" spans="1:3" s="19" customFormat="1" ht="18" hidden="1" customHeight="1" x14ac:dyDescent="0.25">
      <c r="A181" s="17" t="s">
        <v>121</v>
      </c>
      <c r="B181" s="26">
        <f>5/(1+E121/1000)</f>
        <v>0.58823529411764708</v>
      </c>
    </row>
    <row r="182" spans="1:3" s="19" customFormat="1" ht="15" hidden="1" customHeight="1" x14ac:dyDescent="0.25">
      <c r="A182" s="17"/>
    </row>
    <row r="183" spans="1:3" s="19" customFormat="1" ht="15" hidden="1" customHeight="1" x14ac:dyDescent="0.25">
      <c r="A183" s="17"/>
    </row>
    <row r="184" spans="1:3" s="19" customFormat="1" ht="15" hidden="1" customHeight="1" x14ac:dyDescent="0.25">
      <c r="A184" s="19" t="s">
        <v>27</v>
      </c>
    </row>
    <row r="185" spans="1:3" s="19" customFormat="1" ht="18" hidden="1" customHeight="1" x14ac:dyDescent="0.25">
      <c r="A185" s="17" t="s">
        <v>122</v>
      </c>
      <c r="B185" s="26">
        <f>(28-1)/(61-4*E121/1000+(28-1))</f>
        <v>0.46551724137931033</v>
      </c>
    </row>
    <row r="186" spans="1:3" s="19" customFormat="1" ht="15" hidden="1" customHeight="1" x14ac:dyDescent="0.25">
      <c r="A186" s="17"/>
    </row>
    <row r="187" spans="1:3" s="19" customFormat="1" ht="15" hidden="1" customHeight="1" x14ac:dyDescent="0.25">
      <c r="A187" s="17"/>
    </row>
    <row r="188" spans="1:3" s="19" customFormat="1" ht="15" hidden="1" customHeight="1" x14ac:dyDescent="0.25">
      <c r="A188" s="24" t="s">
        <v>28</v>
      </c>
    </row>
    <row r="189" spans="1:3" s="19" customFormat="1" ht="18" hidden="1" customHeight="1" x14ac:dyDescent="0.25">
      <c r="A189" s="18" t="s">
        <v>29</v>
      </c>
      <c r="B189" s="26">
        <f>1.9*B175*B178*B181*B185*(1^-0.118)</f>
        <v>0.51869710953346848</v>
      </c>
      <c r="C189" s="19" t="s">
        <v>157</v>
      </c>
    </row>
    <row r="190" spans="1:3" s="19" customFormat="1" ht="15" hidden="1" customHeight="1" x14ac:dyDescent="0.25">
      <c r="A190" s="17"/>
    </row>
    <row r="191" spans="1:3" s="19" customFormat="1" ht="15" hidden="1" customHeight="1" x14ac:dyDescent="0.25">
      <c r="A191" s="24" t="s">
        <v>30</v>
      </c>
    </row>
    <row r="192" spans="1:3" s="19" customFormat="1" ht="18" hidden="1" customHeight="1" x14ac:dyDescent="0.25">
      <c r="A192" s="17" t="s">
        <v>122</v>
      </c>
      <c r="B192" s="26">
        <f>(365-1)/(61-4*E121/1000+(365-1))</f>
        <v>0.92151898734177218</v>
      </c>
    </row>
    <row r="193" spans="1:3" s="19" customFormat="1" ht="15" hidden="1" customHeight="1" x14ac:dyDescent="0.25">
      <c r="A193" s="17"/>
    </row>
    <row r="194" spans="1:3" s="19" customFormat="1" ht="15" hidden="1" customHeight="1" x14ac:dyDescent="0.25">
      <c r="A194" s="24" t="s">
        <v>31</v>
      </c>
    </row>
    <row r="195" spans="1:3" s="19" customFormat="1" ht="18" hidden="1" customHeight="1" x14ac:dyDescent="0.25">
      <c r="A195" s="18" t="s">
        <v>32</v>
      </c>
      <c r="B195" s="26">
        <f>1.9*B175*B178*B181*B192*(1^-0.118)</f>
        <v>1.0267916902457186</v>
      </c>
      <c r="C195" s="19" t="s">
        <v>158</v>
      </c>
    </row>
    <row r="196" spans="1:3" s="19" customFormat="1" ht="15" hidden="1" customHeight="1" x14ac:dyDescent="0.25">
      <c r="A196" s="17"/>
    </row>
    <row r="197" spans="1:3" s="19" customFormat="1" ht="15" hidden="1" customHeight="1" x14ac:dyDescent="0.25">
      <c r="A197" s="24" t="s">
        <v>33</v>
      </c>
    </row>
    <row r="198" spans="1:3" s="19" customFormat="1" ht="18" hidden="1" customHeight="1" x14ac:dyDescent="0.25">
      <c r="A198" s="17" t="s">
        <v>122</v>
      </c>
      <c r="B198" s="26">
        <f>(5*365-1)/(61-4*E121/1000+(5*365-1))</f>
        <v>0.98328840970350406</v>
      </c>
    </row>
    <row r="199" spans="1:3" s="19" customFormat="1" ht="15" hidden="1" customHeight="1" x14ac:dyDescent="0.25">
      <c r="A199" s="17"/>
    </row>
    <row r="200" spans="1:3" s="19" customFormat="1" ht="15" hidden="1" customHeight="1" x14ac:dyDescent="0.25">
      <c r="A200" s="24" t="s">
        <v>34</v>
      </c>
    </row>
    <row r="201" spans="1:3" s="19" customFormat="1" ht="18" hidden="1" customHeight="1" x14ac:dyDescent="0.25">
      <c r="A201" s="18" t="s">
        <v>35</v>
      </c>
      <c r="B201" s="26">
        <f>1.9*B175*B178*B181*B198*(1^-0.118)</f>
        <v>1.0956175424131918</v>
      </c>
      <c r="C201" s="19" t="s">
        <v>159</v>
      </c>
    </row>
    <row r="202" spans="1:3" s="19" customFormat="1" ht="15" hidden="1" customHeight="1" x14ac:dyDescent="0.25">
      <c r="A202" s="17"/>
    </row>
    <row r="203" spans="1:3" s="19" customFormat="1" ht="15" hidden="1" customHeight="1" x14ac:dyDescent="0.25">
      <c r="A203" s="24" t="s">
        <v>160</v>
      </c>
    </row>
    <row r="204" spans="1:3" s="19" customFormat="1" ht="15" hidden="1" customHeight="1" x14ac:dyDescent="0.25">
      <c r="A204" s="18" t="s">
        <v>36</v>
      </c>
      <c r="B204" s="26">
        <f>B195-B189</f>
        <v>0.50809458071225011</v>
      </c>
    </row>
    <row r="205" spans="1:3" s="19" customFormat="1" ht="15" hidden="1" customHeight="1" x14ac:dyDescent="0.25">
      <c r="B205" s="18"/>
    </row>
    <row r="206" spans="1:3" s="19" customFormat="1" ht="15" hidden="1" customHeight="1" x14ac:dyDescent="0.25">
      <c r="A206" s="19" t="s">
        <v>48</v>
      </c>
      <c r="B206" s="18"/>
    </row>
    <row r="207" spans="1:3" s="19" customFormat="1" ht="15" hidden="1" customHeight="1" x14ac:dyDescent="0.25">
      <c r="B207" s="18"/>
    </row>
    <row r="208" spans="1:3" s="19" customFormat="1" ht="15" hidden="1" customHeight="1" x14ac:dyDescent="0.25">
      <c r="A208" s="21" t="s">
        <v>37</v>
      </c>
    </row>
    <row r="209" spans="1:15" s="19" customFormat="1" ht="18" hidden="1" customHeight="1" x14ac:dyDescent="0.25">
      <c r="A209" s="17" t="s">
        <v>123</v>
      </c>
      <c r="B209" s="26">
        <f>2-0.014*A17</f>
        <v>1.02</v>
      </c>
    </row>
    <row r="210" spans="1:15" s="19" customFormat="1" ht="15" hidden="1" customHeight="1" x14ac:dyDescent="0.25">
      <c r="A210" s="18"/>
    </row>
    <row r="211" spans="1:15" s="19" customFormat="1" ht="15" hidden="1" customHeight="1" x14ac:dyDescent="0.25">
      <c r="A211" s="21" t="s">
        <v>38</v>
      </c>
    </row>
    <row r="212" spans="1:15" s="19" customFormat="1" ht="18" hidden="1" customHeight="1" x14ac:dyDescent="0.25">
      <c r="A212" s="18" t="s">
        <v>39</v>
      </c>
      <c r="B212" s="28">
        <f>B175*B209*B181*B185*(0.48*10^-3)</f>
        <v>1.3366005517241377E-4</v>
      </c>
      <c r="C212" s="19" t="s">
        <v>157</v>
      </c>
    </row>
    <row r="213" spans="1:15" s="19" customFormat="1" ht="15" hidden="1" customHeight="1" x14ac:dyDescent="0.25">
      <c r="A213" s="18"/>
    </row>
    <row r="214" spans="1:15" s="19" customFormat="1" ht="15" hidden="1" customHeight="1" x14ac:dyDescent="0.25">
      <c r="A214" s="21" t="s">
        <v>40</v>
      </c>
    </row>
    <row r="215" spans="1:15" s="19" customFormat="1" ht="18" hidden="1" customHeight="1" x14ac:dyDescent="0.25">
      <c r="A215" s="18" t="s">
        <v>39</v>
      </c>
      <c r="B215" s="28">
        <f>B175*B209*B181*B192*(0.48*10^-3)</f>
        <v>2.6458800607594938E-4</v>
      </c>
      <c r="C215" s="19" t="s">
        <v>158</v>
      </c>
    </row>
    <row r="216" spans="1:15" s="19" customFormat="1" ht="15" hidden="1" customHeight="1" x14ac:dyDescent="0.25">
      <c r="B216" s="18"/>
    </row>
    <row r="217" spans="1:15" s="19" customFormat="1" ht="15" hidden="1" customHeight="1" x14ac:dyDescent="0.25">
      <c r="A217" s="19" t="s">
        <v>176</v>
      </c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</row>
    <row r="218" spans="1:15" s="19" customFormat="1" ht="15" hidden="1" customHeight="1" x14ac:dyDescent="0.25">
      <c r="A218" s="19" t="s">
        <v>177</v>
      </c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</row>
    <row r="219" spans="1:15" s="19" customFormat="1" ht="15" hidden="1" customHeight="1" x14ac:dyDescent="0.25">
      <c r="B219" s="18"/>
    </row>
    <row r="220" spans="1:15" s="19" customFormat="1" ht="18" hidden="1" customHeight="1" x14ac:dyDescent="0.25">
      <c r="A220" s="18" t="s">
        <v>41</v>
      </c>
      <c r="B220" s="26">
        <f>1/(1+((B155*B150)/(B126*H13))*(1+((H13*B141^2)/H14))*(1+(0.7*B201)))</f>
        <v>0.85957108306250463</v>
      </c>
    </row>
    <row r="221" spans="1:15" s="19" customFormat="1" ht="15" hidden="1" customHeight="1" x14ac:dyDescent="0.25">
      <c r="B221" s="18"/>
    </row>
    <row r="222" spans="1:15" s="19" customFormat="1" ht="15" hidden="1" customHeight="1" x14ac:dyDescent="0.25">
      <c r="A222" s="19" t="s">
        <v>49</v>
      </c>
      <c r="B222" s="18"/>
    </row>
    <row r="223" spans="1:15" s="19" customFormat="1" ht="15" hidden="1" customHeight="1" x14ac:dyDescent="0.25">
      <c r="B223" s="18"/>
    </row>
    <row r="224" spans="1:15" s="19" customFormat="1" ht="18" hidden="1" customHeight="1" x14ac:dyDescent="0.25">
      <c r="A224" s="18" t="s">
        <v>42</v>
      </c>
      <c r="B224" s="37">
        <f>B212*B155*B220</f>
        <v>3274.3740740222561</v>
      </c>
      <c r="C224" s="19" t="s">
        <v>161</v>
      </c>
    </row>
    <row r="225" spans="1:3" s="19" customFormat="1" ht="15" hidden="1" customHeight="1" x14ac:dyDescent="0.25">
      <c r="B225" s="17"/>
    </row>
    <row r="226" spans="1:3" s="19" customFormat="1" ht="15" hidden="1" customHeight="1" x14ac:dyDescent="0.25">
      <c r="A226" s="19" t="s">
        <v>50</v>
      </c>
      <c r="B226" s="17"/>
    </row>
    <row r="227" spans="1:3" s="19" customFormat="1" ht="15" hidden="1" customHeight="1" x14ac:dyDescent="0.25">
      <c r="B227" s="17"/>
    </row>
    <row r="228" spans="1:3" s="19" customFormat="1" ht="18" hidden="1" customHeight="1" x14ac:dyDescent="0.25">
      <c r="A228" s="18" t="s">
        <v>43</v>
      </c>
      <c r="B228" s="37">
        <f>(B155/B126)*B164*B189*B220</f>
        <v>5592.0394458183009</v>
      </c>
      <c r="C228" s="19" t="s">
        <v>20</v>
      </c>
    </row>
    <row r="229" spans="1:3" s="19" customFormat="1" ht="15" hidden="1" customHeight="1" x14ac:dyDescent="0.25">
      <c r="B229" s="17"/>
    </row>
    <row r="230" spans="1:3" s="19" customFormat="1" ht="15" hidden="1" customHeight="1" x14ac:dyDescent="0.25">
      <c r="A230" s="19" t="s">
        <v>51</v>
      </c>
      <c r="B230" s="17"/>
    </row>
    <row r="231" spans="1:3" s="19" customFormat="1" ht="15" hidden="1" customHeight="1" x14ac:dyDescent="0.25">
      <c r="B231" s="17"/>
    </row>
    <row r="232" spans="1:3" s="19" customFormat="1" ht="18" hidden="1" customHeight="1" x14ac:dyDescent="0.25">
      <c r="A232" s="18" t="s">
        <v>44</v>
      </c>
      <c r="B232" s="37">
        <f>(B169/30)*(B169/(0.9*B151)-0.55)</f>
        <v>1467.2290198845521</v>
      </c>
      <c r="C232" s="19" t="s">
        <v>20</v>
      </c>
    </row>
    <row r="233" spans="1:3" s="19" customFormat="1" ht="15" hidden="1" customHeight="1" x14ac:dyDescent="0.25">
      <c r="B233" s="17"/>
    </row>
    <row r="234" spans="1:3" s="19" customFormat="1" ht="15" hidden="1" customHeight="1" x14ac:dyDescent="0.25">
      <c r="A234" s="19" t="s">
        <v>52</v>
      </c>
      <c r="B234" s="17"/>
    </row>
    <row r="235" spans="1:3" s="19" customFormat="1" ht="15" hidden="1" customHeight="1" x14ac:dyDescent="0.25">
      <c r="B235" s="17"/>
    </row>
    <row r="236" spans="1:3" s="19" customFormat="1" ht="18" hidden="1" customHeight="1" x14ac:dyDescent="0.25">
      <c r="A236" s="18" t="s">
        <v>53</v>
      </c>
      <c r="B236" s="37">
        <f>B215*B155*B220</f>
        <v>6481.8176700194917</v>
      </c>
      <c r="C236" s="19" t="s">
        <v>162</v>
      </c>
    </row>
    <row r="237" spans="1:3" s="19" customFormat="1" ht="15" hidden="1" customHeight="1" x14ac:dyDescent="0.25">
      <c r="B237" s="17"/>
    </row>
    <row r="238" spans="1:3" s="19" customFormat="1" ht="15" hidden="1" customHeight="1" x14ac:dyDescent="0.25">
      <c r="A238" s="19" t="s">
        <v>54</v>
      </c>
      <c r="B238" s="17"/>
    </row>
    <row r="239" spans="1:3" s="19" customFormat="1" ht="15" hidden="1" customHeight="1" x14ac:dyDescent="0.25">
      <c r="B239" s="17"/>
    </row>
    <row r="240" spans="1:3" s="19" customFormat="1" ht="18" hidden="1" customHeight="1" x14ac:dyDescent="0.25">
      <c r="A240" s="18" t="s">
        <v>55</v>
      </c>
      <c r="B240" s="37">
        <f>(B155/B126)*B164*B195*B220</f>
        <v>11069.773725280449</v>
      </c>
      <c r="C240" s="19" t="s">
        <v>20</v>
      </c>
    </row>
    <row r="241" spans="1:3" s="19" customFormat="1" ht="15" hidden="1" customHeight="1" x14ac:dyDescent="0.25">
      <c r="B241" s="17"/>
    </row>
    <row r="242" spans="1:3" s="19" customFormat="1" ht="15" hidden="1" customHeight="1" x14ac:dyDescent="0.25">
      <c r="A242" s="19" t="s">
        <v>56</v>
      </c>
      <c r="B242" s="17"/>
    </row>
    <row r="243" spans="1:3" s="19" customFormat="1" ht="15" hidden="1" customHeight="1" x14ac:dyDescent="0.25">
      <c r="B243" s="17"/>
    </row>
    <row r="244" spans="1:3" s="19" customFormat="1" ht="18" hidden="1" customHeight="1" x14ac:dyDescent="0.25">
      <c r="A244" s="18" t="s">
        <v>57</v>
      </c>
      <c r="B244" s="37">
        <f>(B169/30)*(B169/(0.9*B151)-0.55)</f>
        <v>1467.2290198845521</v>
      </c>
      <c r="C244" s="19" t="s">
        <v>20</v>
      </c>
    </row>
    <row r="245" spans="1:3" s="19" customFormat="1" ht="15" hidden="1" customHeight="1" x14ac:dyDescent="0.25">
      <c r="B245" s="17"/>
    </row>
    <row r="246" spans="1:3" s="19" customFormat="1" ht="15" hidden="1" customHeight="1" x14ac:dyDescent="0.25">
      <c r="A246" s="19" t="s">
        <v>58</v>
      </c>
      <c r="B246" s="17"/>
    </row>
    <row r="247" spans="1:3" s="19" customFormat="1" ht="15" hidden="1" customHeight="1" x14ac:dyDescent="0.25">
      <c r="B247" s="17"/>
    </row>
    <row r="248" spans="1:3" s="19" customFormat="1" ht="18" hidden="1" customHeight="1" x14ac:dyDescent="0.25">
      <c r="A248" s="17" t="s">
        <v>124</v>
      </c>
      <c r="B248" s="37">
        <f>B150*(0.75*B151-(B165+B224+B228+B232))</f>
        <v>935482.47975434631</v>
      </c>
      <c r="C248" s="19" t="s">
        <v>133</v>
      </c>
    </row>
    <row r="249" spans="1:3" s="19" customFormat="1" ht="15" hidden="1" customHeight="1" x14ac:dyDescent="0.25">
      <c r="B249" s="17"/>
    </row>
    <row r="250" spans="1:3" s="19" customFormat="1" ht="15" hidden="1" customHeight="1" x14ac:dyDescent="0.25">
      <c r="A250" s="19" t="s">
        <v>59</v>
      </c>
      <c r="B250" s="17"/>
    </row>
    <row r="251" spans="1:3" s="19" customFormat="1" ht="15" hidden="1" customHeight="1" x14ac:dyDescent="0.25">
      <c r="B251" s="17"/>
    </row>
    <row r="252" spans="1:3" s="19" customFormat="1" ht="18" hidden="1" customHeight="1" x14ac:dyDescent="0.25">
      <c r="A252" s="17" t="s">
        <v>125</v>
      </c>
      <c r="B252" s="37">
        <f>B150*(0.75*B151-(B165+B236+B240+B244))</f>
        <v>890250.07337895397</v>
      </c>
      <c r="C252" s="19" t="s">
        <v>133</v>
      </c>
    </row>
    <row r="253" spans="1:3" s="19" customFormat="1" ht="15" hidden="1" customHeight="1" x14ac:dyDescent="0.25"/>
    <row r="254" spans="1:3" s="19" customFormat="1" ht="15" hidden="1" customHeight="1" x14ac:dyDescent="0.25">
      <c r="A254" s="17" t="s">
        <v>163</v>
      </c>
      <c r="B254" s="17">
        <f>IF(A21="Yes",5,0)</f>
        <v>0</v>
      </c>
      <c r="C254" s="19" t="s">
        <v>164</v>
      </c>
    </row>
    <row r="255" spans="1:3" s="19" customFormat="1" ht="15" hidden="1" customHeight="1" x14ac:dyDescent="0.25">
      <c r="A255" s="17" t="s">
        <v>165</v>
      </c>
      <c r="B255" s="17">
        <f>A52</f>
        <v>84</v>
      </c>
      <c r="C255" s="19" t="s">
        <v>166</v>
      </c>
    </row>
    <row r="256" spans="1:3" s="19" customFormat="1" ht="15" hidden="1" customHeight="1" x14ac:dyDescent="0.25">
      <c r="A256" s="17" t="s">
        <v>167</v>
      </c>
      <c r="B256" s="17">
        <v>36</v>
      </c>
      <c r="C256" s="19" t="s">
        <v>168</v>
      </c>
    </row>
    <row r="257" spans="1:3" s="19" customFormat="1" ht="15" hidden="1" customHeight="1" x14ac:dyDescent="0.25">
      <c r="B257" s="17"/>
    </row>
    <row r="258" spans="1:3" s="19" customFormat="1" ht="15" hidden="1" customHeight="1" x14ac:dyDescent="0.25">
      <c r="A258" s="24" t="s">
        <v>60</v>
      </c>
      <c r="B258" s="17"/>
    </row>
    <row r="259" spans="1:3" s="19" customFormat="1" ht="15" hidden="1" customHeight="1" x14ac:dyDescent="0.25">
      <c r="B259" s="17"/>
    </row>
    <row r="260" spans="1:3" s="19" customFormat="1" ht="15" hidden="1" customHeight="1" x14ac:dyDescent="0.25">
      <c r="A260" s="24" t="s">
        <v>61</v>
      </c>
    </row>
    <row r="261" spans="1:3" s="19" customFormat="1" ht="15" hidden="1" customHeight="1" x14ac:dyDescent="0.25">
      <c r="A261" s="17"/>
    </row>
    <row r="262" spans="1:3" s="19" customFormat="1" ht="18" hidden="1" customHeight="1" x14ac:dyDescent="0.25">
      <c r="A262" s="17" t="s">
        <v>62</v>
      </c>
      <c r="B262" s="26">
        <f>(B168/(B126*H14))*(((B141*(A13*12)^2)/8)-(B141-B145)*((((0.5*(A13*12))-(B254*12))^2)/6)-((B141*(A52+B256)^2)/6))</f>
        <v>2.9132836685323791</v>
      </c>
      <c r="C262" s="19" t="s">
        <v>134</v>
      </c>
    </row>
    <row r="263" spans="1:3" s="19" customFormat="1" ht="15" hidden="1" customHeight="1" x14ac:dyDescent="0.25">
      <c r="A263" s="17"/>
    </row>
    <row r="264" spans="1:3" s="19" customFormat="1" ht="15" hidden="1" customHeight="1" x14ac:dyDescent="0.25">
      <c r="A264" s="24" t="s">
        <v>63</v>
      </c>
    </row>
    <row r="265" spans="1:3" s="19" customFormat="1" ht="15" hidden="1" customHeight="1" x14ac:dyDescent="0.25">
      <c r="A265" s="17"/>
      <c r="B265" s="26"/>
    </row>
    <row r="266" spans="1:3" s="19" customFormat="1" ht="18" hidden="1" customHeight="1" x14ac:dyDescent="0.25">
      <c r="A266" s="17" t="s">
        <v>23</v>
      </c>
      <c r="B266" s="26">
        <f>(5*((H16+A19)/12)*(A13*12)^4)/(384*B126*H14)</f>
        <v>1.6573943338096218</v>
      </c>
      <c r="C266" s="19" t="s">
        <v>134</v>
      </c>
    </row>
    <row r="267" spans="1:3" s="19" customFormat="1" ht="15" hidden="1" customHeight="1" x14ac:dyDescent="0.25">
      <c r="A267" s="17"/>
      <c r="B267" s="26"/>
    </row>
    <row r="268" spans="1:3" s="19" customFormat="1" ht="15" hidden="1" customHeight="1" x14ac:dyDescent="0.25">
      <c r="A268" s="24" t="s">
        <v>64</v>
      </c>
    </row>
    <row r="269" spans="1:3" s="19" customFormat="1" ht="18" hidden="1" customHeight="1" x14ac:dyDescent="0.25">
      <c r="A269" s="17" t="s">
        <v>126</v>
      </c>
      <c r="B269" s="26">
        <f>B262-B266</f>
        <v>1.2558893347227573</v>
      </c>
      <c r="C269" s="19" t="s">
        <v>134</v>
      </c>
    </row>
    <row r="270" spans="1:3" s="19" customFormat="1" ht="15" hidden="1" customHeight="1" x14ac:dyDescent="0.25">
      <c r="A270" s="17"/>
      <c r="B270" s="26"/>
    </row>
    <row r="271" spans="1:3" s="19" customFormat="1" ht="15" hidden="1" customHeight="1" x14ac:dyDescent="0.25">
      <c r="A271" s="19" t="s">
        <v>65</v>
      </c>
      <c r="B271" s="17"/>
    </row>
    <row r="272" spans="1:3" s="19" customFormat="1" ht="15" hidden="1" customHeight="1" x14ac:dyDescent="0.25">
      <c r="B272" s="17"/>
    </row>
    <row r="273" spans="1:3" s="19" customFormat="1" ht="15" hidden="1" customHeight="1" x14ac:dyDescent="0.25">
      <c r="A273" s="24" t="s">
        <v>61</v>
      </c>
    </row>
    <row r="274" spans="1:3" s="19" customFormat="1" ht="15" hidden="1" customHeight="1" x14ac:dyDescent="0.25">
      <c r="A274" s="17"/>
    </row>
    <row r="275" spans="1:3" s="19" customFormat="1" ht="18" hidden="1" customHeight="1" x14ac:dyDescent="0.25">
      <c r="A275" s="17" t="s">
        <v>66</v>
      </c>
      <c r="B275" s="26">
        <f>B262-(B168-B248)/(((B126+B127)/2)*H14)*(((B141*(A13*12)^2)/8)-(B141-B145)*((((0.5*(A13*12))-(B254*12))^2)/6)-((B141*(A52+B256)^2)/6))</f>
        <v>2.7720123765771438</v>
      </c>
      <c r="C275" s="19" t="s">
        <v>134</v>
      </c>
    </row>
    <row r="276" spans="1:3" s="19" customFormat="1" ht="15" hidden="1" customHeight="1" x14ac:dyDescent="0.25">
      <c r="A276" s="17"/>
    </row>
    <row r="277" spans="1:3" s="19" customFormat="1" ht="15" hidden="1" customHeight="1" x14ac:dyDescent="0.25">
      <c r="A277" s="24" t="s">
        <v>67</v>
      </c>
    </row>
    <row r="278" spans="1:3" s="19" customFormat="1" ht="18" hidden="1" customHeight="1" x14ac:dyDescent="0.25">
      <c r="A278" s="17" t="s">
        <v>127</v>
      </c>
      <c r="B278" s="26">
        <f>B266</f>
        <v>1.6573943338096218</v>
      </c>
      <c r="C278" s="19" t="s">
        <v>134</v>
      </c>
    </row>
    <row r="279" spans="1:3" s="19" customFormat="1" ht="15" hidden="1" customHeight="1" x14ac:dyDescent="0.25">
      <c r="A279" s="17"/>
    </row>
    <row r="280" spans="1:3" s="19" customFormat="1" ht="15" hidden="1" customHeight="1" x14ac:dyDescent="0.25">
      <c r="A280" s="24" t="s">
        <v>68</v>
      </c>
    </row>
    <row r="281" spans="1:3" s="19" customFormat="1" ht="15" hidden="1" customHeight="1" x14ac:dyDescent="0.25">
      <c r="A281" s="17"/>
      <c r="B281" s="26"/>
    </row>
    <row r="282" spans="1:3" s="19" customFormat="1" ht="18" hidden="1" customHeight="1" x14ac:dyDescent="0.25">
      <c r="A282" s="17" t="s">
        <v>69</v>
      </c>
      <c r="B282" s="26">
        <f>B189*((((B168+B248)/2)/(B126*H14))*((((B141*(A13*12)^2)/8)-(B141-B145)*((((0.5*(A13*12))-(B254*12))^2)/6)-((B141*(A52+B256)^2)/6)))-B266)</f>
        <v>0.61032416659585742</v>
      </c>
      <c r="C282" s="19" t="s">
        <v>134</v>
      </c>
    </row>
    <row r="283" spans="1:3" s="19" customFormat="1" ht="15" hidden="1" customHeight="1" x14ac:dyDescent="0.25">
      <c r="A283" s="17"/>
    </row>
    <row r="284" spans="1:3" s="19" customFormat="1" ht="15" hidden="1" customHeight="1" x14ac:dyDescent="0.25">
      <c r="A284" s="24" t="s">
        <v>70</v>
      </c>
    </row>
    <row r="285" spans="1:3" s="19" customFormat="1" ht="18" hidden="1" customHeight="1" x14ac:dyDescent="0.25">
      <c r="A285" s="17" t="s">
        <v>128</v>
      </c>
      <c r="B285" s="26">
        <f>B275-B278+B282</f>
        <v>1.7249422093633795</v>
      </c>
      <c r="C285" s="19" t="s">
        <v>134</v>
      </c>
    </row>
    <row r="286" spans="1:3" s="19" customFormat="1" ht="15" hidden="1" customHeight="1" x14ac:dyDescent="0.25">
      <c r="B286" s="17"/>
    </row>
    <row r="287" spans="1:3" s="19" customFormat="1" ht="15" hidden="1" customHeight="1" x14ac:dyDescent="0.25">
      <c r="A287" s="19" t="s">
        <v>71</v>
      </c>
      <c r="B287" s="17"/>
    </row>
    <row r="288" spans="1:3" s="19" customFormat="1" ht="15" hidden="1" customHeight="1" x14ac:dyDescent="0.25">
      <c r="B288" s="17"/>
    </row>
    <row r="289" spans="1:3" s="19" customFormat="1" ht="15" hidden="1" customHeight="1" x14ac:dyDescent="0.25">
      <c r="A289" s="24" t="s">
        <v>72</v>
      </c>
    </row>
    <row r="290" spans="1:3" s="19" customFormat="1" ht="15" hidden="1" customHeight="1" x14ac:dyDescent="0.25">
      <c r="A290" s="17"/>
      <c r="B290" s="26"/>
    </row>
    <row r="291" spans="1:3" s="19" customFormat="1" ht="18" hidden="1" customHeight="1" x14ac:dyDescent="0.25">
      <c r="A291" s="17" t="s">
        <v>73</v>
      </c>
      <c r="B291" s="26">
        <f>B275-((B248-B252)/(B127*H14))*(((B141*(A13*12)^2)/8)-(B141-B145)*((((0.5*(A13*12))-(B254*12))^2)/6)-((B141*(A52+B256)^2)/6))</f>
        <v>2.6649082865712783</v>
      </c>
      <c r="C291" s="19" t="s">
        <v>134</v>
      </c>
    </row>
    <row r="292" spans="1:3" s="19" customFormat="1" ht="15" hidden="1" customHeight="1" x14ac:dyDescent="0.25">
      <c r="A292" s="17"/>
      <c r="B292" s="26"/>
    </row>
    <row r="293" spans="1:3" s="19" customFormat="1" ht="15" hidden="1" customHeight="1" x14ac:dyDescent="0.25">
      <c r="A293" s="24" t="s">
        <v>74</v>
      </c>
    </row>
    <row r="294" spans="1:3" s="19" customFormat="1" ht="18" hidden="1" customHeight="1" x14ac:dyDescent="0.25">
      <c r="A294" s="17" t="s">
        <v>129</v>
      </c>
      <c r="B294" s="26">
        <f>B278</f>
        <v>1.6573943338096218</v>
      </c>
      <c r="C294" s="19" t="s">
        <v>134</v>
      </c>
    </row>
    <row r="295" spans="1:3" s="19" customFormat="1" ht="15" hidden="1" customHeight="1" x14ac:dyDescent="0.25">
      <c r="A295" s="17"/>
    </row>
    <row r="296" spans="1:3" s="19" customFormat="1" ht="15" hidden="1" customHeight="1" x14ac:dyDescent="0.25">
      <c r="A296" s="24" t="s">
        <v>75</v>
      </c>
    </row>
    <row r="297" spans="1:3" s="19" customFormat="1" ht="15" hidden="1" customHeight="1" x14ac:dyDescent="0.25">
      <c r="A297" s="17"/>
      <c r="B297" s="26"/>
    </row>
    <row r="298" spans="1:3" s="19" customFormat="1" ht="18" hidden="1" customHeight="1" x14ac:dyDescent="0.25">
      <c r="A298" s="17" t="s">
        <v>76</v>
      </c>
      <c r="B298" s="26">
        <f>B282+B204*(((((B248+B252)/2)/(B126*H14))*(((B141*(A13*12)^2)/8)-(B141-B145)*((((0.5*(A13*12))-(B254*12))^2)/6)-((B141*(A52+B256)^2)/6)))-B266)</f>
        <v>1.1340719217831312</v>
      </c>
      <c r="C298" s="19" t="s">
        <v>134</v>
      </c>
    </row>
    <row r="299" spans="1:3" s="19" customFormat="1" ht="15" hidden="1" customHeight="1" x14ac:dyDescent="0.25">
      <c r="A299" s="17"/>
    </row>
    <row r="300" spans="1:3" s="19" customFormat="1" ht="15" hidden="1" customHeight="1" x14ac:dyDescent="0.25">
      <c r="A300" s="24" t="s">
        <v>77</v>
      </c>
    </row>
    <row r="301" spans="1:3" s="19" customFormat="1" ht="18" hidden="1" customHeight="1" x14ac:dyDescent="0.25">
      <c r="A301" s="17" t="s">
        <v>130</v>
      </c>
      <c r="B301" s="26">
        <f>B291-B294+B298</f>
        <v>2.1415858745447878</v>
      </c>
      <c r="C301" s="19" t="s">
        <v>134</v>
      </c>
    </row>
    <row r="302" spans="1:3" s="19" customFormat="1" ht="15" customHeight="1" x14ac:dyDescent="0.25"/>
    <row r="303" spans="1:3" s="19" customFormat="1" ht="15" customHeight="1" x14ac:dyDescent="0.25"/>
    <row r="304" spans="1:3" s="19" customFormat="1" ht="15" customHeight="1" x14ac:dyDescent="0.25">
      <c r="B304" s="17"/>
    </row>
    <row r="305" spans="1:2" s="19" customFormat="1" ht="15" customHeight="1" x14ac:dyDescent="0.25">
      <c r="B305" s="17"/>
    </row>
    <row r="306" spans="1:2" s="19" customFormat="1" ht="15" customHeight="1" x14ac:dyDescent="0.25">
      <c r="B306" s="17"/>
    </row>
    <row r="307" spans="1:2" s="19" customFormat="1" ht="15" customHeight="1" x14ac:dyDescent="0.25"/>
    <row r="308" spans="1:2" s="19" customFormat="1" ht="15" customHeight="1" x14ac:dyDescent="0.25"/>
    <row r="309" spans="1:2" s="19" customFormat="1" ht="15" customHeight="1" x14ac:dyDescent="0.25">
      <c r="B309" s="18"/>
    </row>
    <row r="310" spans="1:2" s="19" customFormat="1" ht="15" customHeight="1" x14ac:dyDescent="0.25"/>
    <row r="311" spans="1:2" s="19" customFormat="1" x14ac:dyDescent="0.25"/>
    <row r="312" spans="1:2" s="19" customFormat="1" x14ac:dyDescent="0.25">
      <c r="B312" s="30"/>
    </row>
    <row r="313" spans="1:2" s="19" customFormat="1" x14ac:dyDescent="0.25">
      <c r="B313" s="17"/>
    </row>
    <row r="314" spans="1:2" s="19" customFormat="1" x14ac:dyDescent="0.25"/>
    <row r="315" spans="1:2" s="19" customFormat="1" x14ac:dyDescent="0.25"/>
    <row r="316" spans="1:2" s="19" customFormat="1" x14ac:dyDescent="0.25"/>
    <row r="317" spans="1:2" x14ac:dyDescent="0.25">
      <c r="B317" s="18"/>
    </row>
    <row r="319" spans="1:2" ht="18.75" x14ac:dyDescent="0.25">
      <c r="A319" s="15"/>
    </row>
    <row r="322" spans="1:2" x14ac:dyDescent="0.25">
      <c r="B322" s="16"/>
    </row>
    <row r="325" spans="1:2" x14ac:dyDescent="0.25">
      <c r="B325" s="16"/>
    </row>
    <row r="327" spans="1:2" ht="18.75" x14ac:dyDescent="0.25">
      <c r="A327" s="15"/>
    </row>
    <row r="329" spans="1:2" x14ac:dyDescent="0.25">
      <c r="B329" s="16"/>
    </row>
  </sheetData>
  <sheetProtection password="C51F" sheet="1" objects="1" scenarios="1"/>
  <mergeCells count="31">
    <mergeCell ref="A5:H5"/>
    <mergeCell ref="F78:G78"/>
    <mergeCell ref="D56:H56"/>
    <mergeCell ref="D57:H57"/>
    <mergeCell ref="A59:H59"/>
    <mergeCell ref="A60:H60"/>
    <mergeCell ref="A54:C54"/>
    <mergeCell ref="A1:H1"/>
    <mergeCell ref="A2:H2"/>
    <mergeCell ref="A4:H4"/>
    <mergeCell ref="F12:H12"/>
    <mergeCell ref="A24:C24"/>
    <mergeCell ref="E24:G24"/>
    <mergeCell ref="F13:G13"/>
    <mergeCell ref="F14:G14"/>
    <mergeCell ref="F15:G15"/>
    <mergeCell ref="F16:G16"/>
    <mergeCell ref="F17:G17"/>
    <mergeCell ref="A17:A18"/>
    <mergeCell ref="B17:D18"/>
    <mergeCell ref="B19:D19"/>
    <mergeCell ref="A23:C23"/>
    <mergeCell ref="E23:G23"/>
    <mergeCell ref="C10:D10"/>
    <mergeCell ref="C9:D9"/>
    <mergeCell ref="C8:D8"/>
    <mergeCell ref="C7:D7"/>
    <mergeCell ref="F10:G10"/>
    <mergeCell ref="F9:G9"/>
    <mergeCell ref="F8:G8"/>
    <mergeCell ref="F7:G7"/>
  </mergeCells>
  <pageMargins left="1" right="0.25" top="0.25" bottom="0.25" header="0.3" footer="0.3"/>
  <pageSetup scale="85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'Girder Section Properties'!$B$15:$C$15</xm:f>
          </x14:formula1>
          <xm:sqref>A16</xm:sqref>
        </x14:dataValidation>
        <x14:dataValidation type="list" allowBlank="1" showInputMessage="1" showErrorMessage="1">
          <x14:formula1>
            <xm:f>'Girder Section Properties'!$B$17:$C$17</xm:f>
          </x14:formula1>
          <xm:sqref>A21</xm:sqref>
        </x14:dataValidation>
        <x14:dataValidation type="list" allowBlank="1" showInputMessage="1" showErrorMessage="1">
          <x14:formula1>
            <xm:f>'Girder Section Properties'!$B$6:$Q$6</xm:f>
          </x14:formula1>
          <xm:sqref>A12</xm:sqref>
        </x14:dataValidation>
        <x14:dataValidation type="list" allowBlank="1" showInputMessage="1" showErrorMessage="1">
          <x14:formula1>
            <xm:f>'Girder Section Properties'!$B$19:$C$19</xm:f>
          </x14:formula1>
          <xm:sqref>A64</xm:sqref>
        </x14:dataValidation>
        <x14:dataValidation type="list" allowBlank="1" showInputMessage="1" showErrorMessage="1">
          <x14:formula1>
            <xm:f>'Girder Section Properties'!$B$21:$C$21</xm:f>
          </x14:formula1>
          <xm:sqref>A17:A18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16"/>
  <sheetViews>
    <sheetView workbookViewId="0">
      <selection activeCell="E6" sqref="E6"/>
    </sheetView>
  </sheetViews>
  <sheetFormatPr defaultColWidth="12.7109375" defaultRowHeight="15" x14ac:dyDescent="0.25"/>
  <cols>
    <col min="1" max="16384" width="12.7109375" style="54"/>
  </cols>
  <sheetData>
    <row r="1" spans="1:10" ht="23.25" x14ac:dyDescent="0.25">
      <c r="A1" s="162" t="s">
        <v>97</v>
      </c>
      <c r="B1" s="162"/>
      <c r="C1" s="162"/>
      <c r="D1" s="162"/>
      <c r="E1" s="162"/>
      <c r="F1" s="162"/>
      <c r="G1" s="162"/>
      <c r="H1" s="162"/>
      <c r="I1" s="53"/>
      <c r="J1" s="53"/>
    </row>
    <row r="2" spans="1:10" ht="24" thickBot="1" x14ac:dyDescent="0.3">
      <c r="A2" s="163" t="s">
        <v>98</v>
      </c>
      <c r="B2" s="163"/>
      <c r="C2" s="163"/>
      <c r="D2" s="163"/>
      <c r="E2" s="163"/>
      <c r="F2" s="163"/>
      <c r="G2" s="163"/>
      <c r="H2" s="163"/>
      <c r="I2" s="53"/>
      <c r="J2" s="53"/>
    </row>
    <row r="3" spans="1:10" ht="15" customHeight="1" x14ac:dyDescent="0.25">
      <c r="A3" s="55"/>
      <c r="B3" s="55"/>
      <c r="C3" s="56"/>
      <c r="D3" s="56"/>
      <c r="E3" s="56"/>
      <c r="F3" s="56"/>
      <c r="G3" s="56"/>
      <c r="H3" s="56"/>
      <c r="I3" s="56"/>
      <c r="J3" s="56"/>
    </row>
    <row r="4" spans="1:10" ht="15" customHeight="1" x14ac:dyDescent="0.25">
      <c r="A4" s="74" t="s">
        <v>179</v>
      </c>
      <c r="B4" s="55"/>
      <c r="C4" s="56"/>
      <c r="D4" s="56"/>
      <c r="E4" s="56"/>
      <c r="F4" s="56"/>
      <c r="G4" s="56"/>
      <c r="H4" s="56"/>
      <c r="I4" s="56"/>
      <c r="J4" s="56"/>
    </row>
    <row r="5" spans="1:10" ht="15" customHeight="1" x14ac:dyDescent="0.25">
      <c r="A5" s="55"/>
      <c r="B5" s="55"/>
      <c r="C5" s="56"/>
      <c r="D5" s="56"/>
      <c r="E5" s="56"/>
      <c r="F5" s="56"/>
      <c r="G5" s="56"/>
      <c r="H5" s="56"/>
      <c r="I5" s="56"/>
      <c r="J5" s="56"/>
    </row>
    <row r="6" spans="1:10" x14ac:dyDescent="0.25">
      <c r="A6" s="57" t="str">
        <f>'Refined Method'!A12</f>
        <v>BB 33"</v>
      </c>
      <c r="B6" s="54" t="s">
        <v>17</v>
      </c>
      <c r="F6" s="180" t="s">
        <v>24</v>
      </c>
      <c r="G6" s="180"/>
      <c r="H6" s="180"/>
    </row>
    <row r="7" spans="1:10" ht="18" x14ac:dyDescent="0.25">
      <c r="A7" s="58">
        <f>'Refined Method'!A13</f>
        <v>80</v>
      </c>
      <c r="B7" s="54" t="s">
        <v>137</v>
      </c>
      <c r="F7" s="176" t="s">
        <v>1</v>
      </c>
      <c r="G7" s="177"/>
      <c r="H7" s="59">
        <f>'Refined Method'!H13</f>
        <v>646.5</v>
      </c>
    </row>
    <row r="8" spans="1:10" ht="18" x14ac:dyDescent="0.25">
      <c r="A8" s="60">
        <f>'Refined Method'!A14</f>
        <v>6000</v>
      </c>
      <c r="B8" s="54" t="s">
        <v>14</v>
      </c>
      <c r="F8" s="176" t="s">
        <v>2</v>
      </c>
      <c r="G8" s="177"/>
      <c r="H8" s="59">
        <f>'Refined Method'!H14</f>
        <v>86912</v>
      </c>
    </row>
    <row r="9" spans="1:10" ht="18" x14ac:dyDescent="0.25">
      <c r="A9" s="60">
        <f>'Refined Method'!A15</f>
        <v>8000</v>
      </c>
      <c r="B9" s="54" t="s">
        <v>15</v>
      </c>
      <c r="F9" s="176" t="s">
        <v>3</v>
      </c>
      <c r="G9" s="177"/>
      <c r="H9" s="59">
        <f>'Refined Method'!H15</f>
        <v>15.686</v>
      </c>
    </row>
    <row r="10" spans="1:10" ht="18" x14ac:dyDescent="0.25">
      <c r="A10" s="61">
        <f>'Refined Method'!A16</f>
        <v>0.6</v>
      </c>
      <c r="B10" s="54" t="s">
        <v>138</v>
      </c>
      <c r="F10" s="176" t="s">
        <v>4</v>
      </c>
      <c r="G10" s="177"/>
      <c r="H10" s="59">
        <f>'Refined Method'!H16</f>
        <v>673.5</v>
      </c>
    </row>
    <row r="11" spans="1:10" x14ac:dyDescent="0.25">
      <c r="A11" s="178">
        <f>'Refined Method'!A17</f>
        <v>70</v>
      </c>
      <c r="B11" s="179" t="s">
        <v>83</v>
      </c>
      <c r="C11" s="179"/>
      <c r="D11" s="179"/>
      <c r="F11" s="176" t="s">
        <v>0</v>
      </c>
      <c r="G11" s="177"/>
      <c r="H11" s="59">
        <f>'Refined Method'!H17</f>
        <v>3.4849999999999999</v>
      </c>
    </row>
    <row r="12" spans="1:10" x14ac:dyDescent="0.25">
      <c r="A12" s="178"/>
      <c r="B12" s="179"/>
      <c r="C12" s="179"/>
      <c r="D12" s="179"/>
    </row>
    <row r="13" spans="1:10" x14ac:dyDescent="0.25">
      <c r="A13" s="58">
        <f>'Refined Method'!A19</f>
        <v>24.030999999999999</v>
      </c>
      <c r="B13" s="165" t="s">
        <v>84</v>
      </c>
      <c r="C13" s="166"/>
      <c r="D13" s="166"/>
    </row>
    <row r="14" spans="1:10" ht="15.75" customHeight="1" x14ac:dyDescent="0.25">
      <c r="A14" s="62"/>
    </row>
    <row r="15" spans="1:10" x14ac:dyDescent="0.25">
      <c r="A15" s="63" t="str">
        <f>'Refined Method'!A21</f>
        <v>No</v>
      </c>
      <c r="B15" s="64" t="s">
        <v>81</v>
      </c>
      <c r="C15" s="64"/>
      <c r="D15" s="64"/>
      <c r="E15" s="64"/>
      <c r="F15" s="64"/>
      <c r="G15" s="64"/>
    </row>
    <row r="17" spans="1:23" x14ac:dyDescent="0.25">
      <c r="A17" s="167" t="s">
        <v>86</v>
      </c>
      <c r="B17" s="168"/>
      <c r="C17" s="169"/>
      <c r="D17" s="62"/>
      <c r="E17" s="167" t="s">
        <v>86</v>
      </c>
      <c r="F17" s="168"/>
      <c r="G17" s="169"/>
    </row>
    <row r="18" spans="1:23" ht="15" customHeight="1" x14ac:dyDescent="0.25">
      <c r="A18" s="170" t="s">
        <v>131</v>
      </c>
      <c r="B18" s="171"/>
      <c r="C18" s="172"/>
      <c r="D18" s="62"/>
      <c r="E18" s="173" t="s">
        <v>87</v>
      </c>
      <c r="F18" s="174"/>
      <c r="G18" s="175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5" customHeight="1" x14ac:dyDescent="0.25">
      <c r="A19" s="65" t="s">
        <v>88</v>
      </c>
      <c r="B19" s="65" t="s">
        <v>95</v>
      </c>
      <c r="C19" s="65" t="s">
        <v>92</v>
      </c>
      <c r="D19" s="66"/>
      <c r="E19" s="65" t="s">
        <v>88</v>
      </c>
      <c r="F19" s="65" t="s">
        <v>95</v>
      </c>
      <c r="G19" s="65" t="s">
        <v>92</v>
      </c>
      <c r="I19" s="67"/>
      <c r="J19" s="67"/>
      <c r="K19" s="68"/>
      <c r="L19" s="11"/>
      <c r="M19" s="67"/>
      <c r="N19" s="67"/>
      <c r="O19" s="68"/>
      <c r="P19" s="11"/>
      <c r="Q19" s="67"/>
      <c r="R19" s="67"/>
      <c r="S19" s="68"/>
      <c r="T19" s="11"/>
      <c r="U19" s="67"/>
      <c r="V19" s="67"/>
      <c r="W19" s="68"/>
    </row>
    <row r="20" spans="1:23" ht="15" customHeight="1" x14ac:dyDescent="0.25">
      <c r="A20" s="69" t="s">
        <v>96</v>
      </c>
      <c r="B20" s="69" t="s">
        <v>89</v>
      </c>
      <c r="C20" s="69" t="s">
        <v>93</v>
      </c>
      <c r="D20" s="66"/>
      <c r="E20" s="69" t="s">
        <v>96</v>
      </c>
      <c r="F20" s="69" t="s">
        <v>89</v>
      </c>
      <c r="G20" s="69" t="s">
        <v>93</v>
      </c>
      <c r="I20" s="67"/>
      <c r="J20" s="67"/>
      <c r="K20" s="68"/>
      <c r="L20" s="11"/>
      <c r="M20" s="67"/>
      <c r="N20" s="67"/>
      <c r="O20" s="68"/>
      <c r="P20" s="11"/>
      <c r="Q20" s="67"/>
      <c r="R20" s="67"/>
      <c r="S20" s="68"/>
      <c r="T20" s="11"/>
      <c r="U20" s="67"/>
      <c r="V20" s="67"/>
      <c r="W20" s="68"/>
    </row>
    <row r="21" spans="1:23" ht="15" customHeight="1" x14ac:dyDescent="0.25">
      <c r="A21" s="70" t="s">
        <v>90</v>
      </c>
      <c r="B21" s="70" t="s">
        <v>91</v>
      </c>
      <c r="C21" s="70" t="s">
        <v>94</v>
      </c>
      <c r="D21" s="71"/>
      <c r="E21" s="70" t="s">
        <v>90</v>
      </c>
      <c r="F21" s="70" t="s">
        <v>91</v>
      </c>
      <c r="G21" s="70" t="s">
        <v>94</v>
      </c>
      <c r="I21" s="67"/>
      <c r="J21" s="67"/>
      <c r="K21" s="68"/>
      <c r="L21" s="11"/>
      <c r="M21" s="67"/>
      <c r="N21" s="67"/>
      <c r="O21" s="68"/>
      <c r="P21" s="11"/>
      <c r="Q21" s="67"/>
      <c r="R21" s="67"/>
      <c r="S21" s="68"/>
      <c r="T21" s="11"/>
      <c r="U21" s="67"/>
      <c r="V21" s="67"/>
      <c r="W21" s="68"/>
    </row>
    <row r="22" spans="1:23" x14ac:dyDescent="0.25">
      <c r="A22" s="72">
        <v>1</v>
      </c>
      <c r="B22" s="72">
        <f>'Refined Method'!B28</f>
        <v>12</v>
      </c>
      <c r="C22" s="72">
        <f>'Refined Method'!C28</f>
        <v>2</v>
      </c>
      <c r="D22" s="62"/>
      <c r="E22" s="59">
        <v>1</v>
      </c>
      <c r="F22" s="59">
        <f>'Refined Method'!F28</f>
        <v>8</v>
      </c>
      <c r="G22" s="59">
        <f>'Refined Method'!G28</f>
        <v>2</v>
      </c>
      <c r="I22" s="67"/>
      <c r="J22" s="11"/>
      <c r="K22" s="11"/>
      <c r="L22" s="11"/>
      <c r="M22" s="67"/>
      <c r="N22" s="11"/>
      <c r="O22" s="11"/>
      <c r="P22" s="11"/>
      <c r="Q22" s="67"/>
      <c r="R22" s="11"/>
      <c r="S22" s="11"/>
      <c r="T22" s="11"/>
      <c r="U22" s="67"/>
      <c r="V22" s="11"/>
      <c r="W22" s="11"/>
    </row>
    <row r="23" spans="1:23" ht="14.25" customHeight="1" x14ac:dyDescent="0.25">
      <c r="A23" s="72">
        <v>2</v>
      </c>
      <c r="B23" s="72">
        <f>'Refined Method'!B29</f>
        <v>8</v>
      </c>
      <c r="C23" s="72">
        <f>'Refined Method'!C29</f>
        <v>4</v>
      </c>
      <c r="D23" s="62"/>
      <c r="E23" s="59">
        <v>2</v>
      </c>
      <c r="F23" s="59">
        <f>'Refined Method'!F29</f>
        <v>8</v>
      </c>
      <c r="G23" s="59">
        <f>'Refined Method'!G29</f>
        <v>4</v>
      </c>
      <c r="I23" s="67"/>
      <c r="J23" s="11"/>
      <c r="K23" s="11"/>
      <c r="L23" s="11"/>
      <c r="M23" s="67"/>
      <c r="N23" s="11"/>
      <c r="O23" s="11"/>
      <c r="P23" s="11"/>
      <c r="Q23" s="67"/>
      <c r="R23" s="11"/>
      <c r="S23" s="11"/>
      <c r="T23" s="11"/>
      <c r="U23" s="67"/>
      <c r="V23" s="11"/>
      <c r="W23" s="11"/>
    </row>
    <row r="24" spans="1:23" x14ac:dyDescent="0.25">
      <c r="A24" s="72">
        <v>3</v>
      </c>
      <c r="B24" s="72">
        <f>'Refined Method'!B30</f>
        <v>2</v>
      </c>
      <c r="C24" s="72">
        <f>'Refined Method'!C30</f>
        <v>6</v>
      </c>
      <c r="D24" s="62"/>
      <c r="E24" s="59">
        <v>3</v>
      </c>
      <c r="F24" s="59">
        <f>'Refined Method'!F30</f>
        <v>2</v>
      </c>
      <c r="G24" s="59">
        <f>'Refined Method'!G30</f>
        <v>6</v>
      </c>
      <c r="I24" s="67"/>
      <c r="J24" s="11"/>
      <c r="K24" s="11"/>
      <c r="L24" s="11"/>
      <c r="M24" s="67"/>
      <c r="N24" s="11"/>
      <c r="O24" s="11"/>
      <c r="P24" s="11"/>
      <c r="Q24" s="67"/>
      <c r="R24" s="11"/>
      <c r="S24" s="11"/>
      <c r="T24" s="11"/>
      <c r="U24" s="67"/>
      <c r="V24" s="11"/>
      <c r="W24" s="11"/>
    </row>
    <row r="25" spans="1:23" x14ac:dyDescent="0.25">
      <c r="A25" s="72">
        <v>4</v>
      </c>
      <c r="B25" s="72">
        <f>'Refined Method'!B31</f>
        <v>2</v>
      </c>
      <c r="C25" s="72">
        <f>'Refined Method'!C31</f>
        <v>30</v>
      </c>
      <c r="D25" s="62"/>
      <c r="E25" s="59">
        <v>4</v>
      </c>
      <c r="F25" s="59">
        <f>'Refined Method'!F31</f>
        <v>2</v>
      </c>
      <c r="G25" s="59">
        <f>'Refined Method'!G31</f>
        <v>30</v>
      </c>
      <c r="I25" s="67"/>
      <c r="J25" s="11"/>
      <c r="K25" s="11"/>
      <c r="L25" s="11"/>
      <c r="M25" s="67"/>
      <c r="N25" s="11"/>
      <c r="O25" s="11"/>
      <c r="P25" s="11"/>
      <c r="Q25" s="67"/>
      <c r="R25" s="11"/>
      <c r="S25" s="11"/>
      <c r="T25" s="11"/>
      <c r="U25" s="67"/>
      <c r="V25" s="11"/>
      <c r="W25" s="11"/>
    </row>
    <row r="26" spans="1:23" x14ac:dyDescent="0.25">
      <c r="A26" s="72">
        <v>5</v>
      </c>
      <c r="B26" s="72">
        <f>'Refined Method'!B32</f>
        <v>0</v>
      </c>
      <c r="C26" s="72">
        <f>'Refined Method'!C32</f>
        <v>0</v>
      </c>
      <c r="D26" s="62"/>
      <c r="E26" s="59">
        <v>5</v>
      </c>
      <c r="F26" s="59">
        <f>'Refined Method'!F32</f>
        <v>0</v>
      </c>
      <c r="G26" s="59">
        <f>'Refined Method'!G32</f>
        <v>0</v>
      </c>
      <c r="I26" s="67"/>
      <c r="J26" s="11"/>
      <c r="K26" s="73"/>
      <c r="L26" s="11"/>
      <c r="M26" s="67"/>
      <c r="N26" s="11"/>
      <c r="O26" s="73"/>
      <c r="P26" s="11"/>
      <c r="Q26" s="67"/>
      <c r="R26" s="11"/>
      <c r="S26" s="11"/>
      <c r="T26" s="11"/>
      <c r="U26" s="67"/>
      <c r="V26" s="11"/>
      <c r="W26" s="11"/>
    </row>
    <row r="27" spans="1:23" x14ac:dyDescent="0.25">
      <c r="A27" s="72">
        <v>6</v>
      </c>
      <c r="B27" s="72">
        <f>'Refined Method'!B33</f>
        <v>0</v>
      </c>
      <c r="C27" s="72">
        <f>'Refined Method'!C33</f>
        <v>0</v>
      </c>
      <c r="D27" s="62"/>
      <c r="E27" s="59">
        <v>6</v>
      </c>
      <c r="F27" s="59">
        <f>'Refined Method'!F33</f>
        <v>0</v>
      </c>
      <c r="G27" s="59">
        <f>'Refined Method'!G33</f>
        <v>0</v>
      </c>
      <c r="I27" s="67"/>
      <c r="J27" s="11"/>
      <c r="K27" s="73"/>
      <c r="L27" s="11"/>
      <c r="M27" s="67"/>
      <c r="N27" s="11"/>
      <c r="O27" s="73"/>
      <c r="P27" s="11"/>
      <c r="Q27" s="67"/>
      <c r="R27" s="11"/>
      <c r="S27" s="11"/>
      <c r="T27" s="11"/>
      <c r="U27" s="67"/>
      <c r="V27" s="11"/>
      <c r="W27" s="11"/>
    </row>
    <row r="28" spans="1:23" x14ac:dyDescent="0.25">
      <c r="A28" s="72">
        <v>7</v>
      </c>
      <c r="B28" s="72">
        <f>'Refined Method'!B34</f>
        <v>0</v>
      </c>
      <c r="C28" s="72">
        <f>'Refined Method'!C34</f>
        <v>0</v>
      </c>
      <c r="D28" s="62"/>
      <c r="E28" s="59">
        <v>7</v>
      </c>
      <c r="F28" s="59">
        <f>'Refined Method'!F34</f>
        <v>0</v>
      </c>
      <c r="G28" s="59">
        <f>'Refined Method'!G34</f>
        <v>0</v>
      </c>
      <c r="I28" s="67"/>
      <c r="J28" s="11"/>
      <c r="K28" s="73"/>
      <c r="L28" s="11"/>
      <c r="M28" s="67"/>
      <c r="N28" s="11"/>
      <c r="O28" s="73"/>
      <c r="P28" s="11"/>
      <c r="Q28" s="67"/>
      <c r="R28" s="11"/>
      <c r="S28" s="11"/>
      <c r="T28" s="11"/>
      <c r="U28" s="67"/>
      <c r="V28" s="11"/>
      <c r="W28" s="11"/>
    </row>
    <row r="29" spans="1:23" x14ac:dyDescent="0.25">
      <c r="A29" s="72">
        <v>8</v>
      </c>
      <c r="B29" s="72">
        <f>'Refined Method'!B35</f>
        <v>0</v>
      </c>
      <c r="C29" s="72">
        <f>'Refined Method'!C35</f>
        <v>0</v>
      </c>
      <c r="D29" s="62"/>
      <c r="E29" s="59">
        <v>8</v>
      </c>
      <c r="F29" s="59">
        <f>'Refined Method'!F35</f>
        <v>0</v>
      </c>
      <c r="G29" s="59">
        <f>'Refined Method'!G35</f>
        <v>0</v>
      </c>
      <c r="I29" s="67"/>
      <c r="J29" s="11"/>
      <c r="K29" s="73"/>
      <c r="L29" s="11"/>
      <c r="M29" s="67"/>
      <c r="N29" s="11"/>
      <c r="O29" s="73"/>
      <c r="P29" s="11"/>
      <c r="Q29" s="67"/>
      <c r="R29" s="11"/>
      <c r="S29" s="11"/>
      <c r="T29" s="11"/>
      <c r="U29" s="67"/>
      <c r="V29" s="11"/>
      <c r="W29" s="11"/>
    </row>
    <row r="30" spans="1:23" x14ac:dyDescent="0.25">
      <c r="A30" s="72">
        <v>9</v>
      </c>
      <c r="B30" s="72">
        <f>'Refined Method'!B36</f>
        <v>0</v>
      </c>
      <c r="C30" s="72">
        <f>'Refined Method'!C36</f>
        <v>0</v>
      </c>
      <c r="D30" s="62"/>
      <c r="E30" s="59">
        <v>9</v>
      </c>
      <c r="F30" s="59">
        <f>'Refined Method'!F36</f>
        <v>0</v>
      </c>
      <c r="G30" s="59">
        <f>'Refined Method'!G36</f>
        <v>0</v>
      </c>
      <c r="I30" s="67"/>
      <c r="J30" s="11"/>
      <c r="K30" s="73"/>
      <c r="L30" s="11"/>
      <c r="M30" s="67"/>
      <c r="N30" s="11"/>
      <c r="O30" s="73"/>
      <c r="P30" s="11"/>
      <c r="Q30" s="67"/>
      <c r="R30" s="11"/>
      <c r="S30" s="11"/>
      <c r="T30" s="11"/>
      <c r="U30" s="67"/>
      <c r="V30" s="11"/>
      <c r="W30" s="11"/>
    </row>
    <row r="31" spans="1:23" x14ac:dyDescent="0.25">
      <c r="A31" s="72">
        <v>10</v>
      </c>
      <c r="B31" s="72">
        <f>'Refined Method'!B37</f>
        <v>0</v>
      </c>
      <c r="C31" s="72">
        <f>'Refined Method'!C37</f>
        <v>0</v>
      </c>
      <c r="D31" s="62"/>
      <c r="E31" s="59">
        <v>10</v>
      </c>
      <c r="F31" s="59">
        <f>'Refined Method'!F37</f>
        <v>0</v>
      </c>
      <c r="G31" s="59">
        <f>'Refined Method'!G37</f>
        <v>0</v>
      </c>
      <c r="I31" s="67"/>
      <c r="J31" s="11"/>
      <c r="K31" s="73"/>
      <c r="L31" s="11"/>
      <c r="M31" s="67"/>
      <c r="N31" s="11"/>
      <c r="O31" s="73"/>
      <c r="P31" s="11"/>
      <c r="Q31" s="67"/>
      <c r="R31" s="11"/>
      <c r="S31" s="11"/>
      <c r="T31" s="11"/>
      <c r="U31" s="67"/>
      <c r="V31" s="11"/>
      <c r="W31" s="11"/>
    </row>
    <row r="32" spans="1:23" x14ac:dyDescent="0.25">
      <c r="A32" s="72">
        <v>11</v>
      </c>
      <c r="B32" s="72">
        <f>'Refined Method'!B38</f>
        <v>0</v>
      </c>
      <c r="C32" s="72">
        <f>'Refined Method'!C38</f>
        <v>0</v>
      </c>
      <c r="D32" s="62"/>
      <c r="E32" s="59">
        <v>11</v>
      </c>
      <c r="F32" s="59">
        <f>'Refined Method'!F38</f>
        <v>0</v>
      </c>
      <c r="G32" s="59">
        <f>'Refined Method'!G38</f>
        <v>0</v>
      </c>
      <c r="I32" s="67"/>
      <c r="J32" s="11"/>
      <c r="K32" s="73"/>
      <c r="L32" s="11"/>
      <c r="M32" s="67"/>
      <c r="N32" s="11"/>
      <c r="O32" s="73"/>
      <c r="P32" s="11"/>
      <c r="Q32" s="67"/>
      <c r="R32" s="11"/>
      <c r="S32" s="11"/>
      <c r="T32" s="11"/>
      <c r="U32" s="67"/>
      <c r="V32" s="11"/>
      <c r="W32" s="11"/>
    </row>
    <row r="33" spans="1:23" x14ac:dyDescent="0.25">
      <c r="A33" s="72">
        <v>12</v>
      </c>
      <c r="B33" s="72">
        <f>'Refined Method'!B39</f>
        <v>0</v>
      </c>
      <c r="C33" s="72">
        <f>'Refined Method'!C39</f>
        <v>0</v>
      </c>
      <c r="D33" s="62"/>
      <c r="E33" s="59">
        <v>12</v>
      </c>
      <c r="F33" s="59">
        <f>'Refined Method'!F39</f>
        <v>0</v>
      </c>
      <c r="G33" s="59">
        <f>'Refined Method'!G39</f>
        <v>0</v>
      </c>
      <c r="I33" s="67"/>
      <c r="J33" s="11"/>
      <c r="K33" s="73"/>
      <c r="L33" s="11"/>
      <c r="M33" s="67"/>
      <c r="N33" s="11"/>
      <c r="O33" s="73"/>
      <c r="P33" s="11"/>
      <c r="Q33" s="67"/>
      <c r="R33" s="11"/>
      <c r="S33" s="11"/>
      <c r="T33" s="11"/>
      <c r="U33" s="67"/>
      <c r="V33" s="11"/>
      <c r="W33" s="11"/>
    </row>
    <row r="34" spans="1:23" x14ac:dyDescent="0.25">
      <c r="A34" s="72">
        <v>13</v>
      </c>
      <c r="B34" s="72">
        <f>'Refined Method'!B40</f>
        <v>0</v>
      </c>
      <c r="C34" s="72">
        <f>'Refined Method'!C40</f>
        <v>0</v>
      </c>
      <c r="D34" s="62"/>
      <c r="E34" s="59">
        <v>13</v>
      </c>
      <c r="F34" s="59">
        <f>'Refined Method'!F40</f>
        <v>0</v>
      </c>
      <c r="G34" s="59">
        <f>'Refined Method'!G40</f>
        <v>0</v>
      </c>
      <c r="I34" s="67"/>
      <c r="J34" s="11"/>
      <c r="K34" s="11"/>
      <c r="L34" s="11"/>
      <c r="M34" s="67"/>
      <c r="N34" s="11"/>
      <c r="O34" s="11"/>
      <c r="P34" s="11"/>
      <c r="Q34" s="67"/>
      <c r="R34" s="11"/>
      <c r="S34" s="11"/>
      <c r="T34" s="11"/>
      <c r="U34" s="67"/>
      <c r="V34" s="11"/>
      <c r="W34" s="11"/>
    </row>
    <row r="35" spans="1:23" x14ac:dyDescent="0.25">
      <c r="A35" s="72">
        <v>14</v>
      </c>
      <c r="B35" s="72">
        <f>'Refined Method'!B41</f>
        <v>0</v>
      </c>
      <c r="C35" s="72">
        <f>'Refined Method'!C41</f>
        <v>0</v>
      </c>
      <c r="D35" s="62"/>
      <c r="E35" s="59">
        <v>14</v>
      </c>
      <c r="F35" s="59">
        <f>'Refined Method'!F41</f>
        <v>0</v>
      </c>
      <c r="G35" s="59">
        <f>'Refined Method'!G41</f>
        <v>0</v>
      </c>
      <c r="I35" s="67"/>
      <c r="J35" s="67"/>
      <c r="K35" s="67"/>
      <c r="L35" s="11"/>
      <c r="M35" s="67"/>
      <c r="N35" s="67"/>
      <c r="O35" s="67"/>
      <c r="P35" s="11"/>
      <c r="Q35" s="67"/>
      <c r="R35" s="67"/>
      <c r="S35" s="67"/>
      <c r="T35" s="11"/>
      <c r="U35" s="67"/>
      <c r="V35" s="67"/>
      <c r="W35" s="67"/>
    </row>
    <row r="36" spans="1:23" x14ac:dyDescent="0.25">
      <c r="A36" s="72">
        <v>15</v>
      </c>
      <c r="B36" s="72">
        <f>'Refined Method'!B42</f>
        <v>0</v>
      </c>
      <c r="C36" s="72">
        <f>'Refined Method'!C42</f>
        <v>0</v>
      </c>
      <c r="D36" s="62"/>
      <c r="E36" s="59">
        <v>15</v>
      </c>
      <c r="F36" s="59">
        <f>'Refined Method'!F42</f>
        <v>0</v>
      </c>
      <c r="G36" s="59">
        <f>'Refined Method'!G42</f>
        <v>0</v>
      </c>
      <c r="I36" s="67"/>
      <c r="J36" s="67"/>
      <c r="K36" s="67"/>
      <c r="L36" s="11"/>
      <c r="M36" s="67"/>
      <c r="N36" s="67"/>
      <c r="O36" s="67"/>
      <c r="P36" s="11"/>
      <c r="Q36" s="67"/>
      <c r="R36" s="67"/>
      <c r="S36" s="67"/>
      <c r="T36" s="11"/>
      <c r="U36" s="67"/>
      <c r="V36" s="67"/>
      <c r="W36" s="67"/>
    </row>
    <row r="38" spans="1:23" x14ac:dyDescent="0.25">
      <c r="A38" s="59">
        <f>'Refined Method'!A52</f>
        <v>84</v>
      </c>
      <c r="B38" s="12" t="s">
        <v>139</v>
      </c>
      <c r="C38" s="12"/>
      <c r="D38" s="12"/>
      <c r="E38" s="12"/>
      <c r="F38" s="12"/>
      <c r="G38" s="12"/>
    </row>
    <row r="40" spans="1:23" s="75" customFormat="1" x14ac:dyDescent="0.25"/>
    <row r="41" spans="1:23" s="75" customFormat="1" ht="18" x14ac:dyDescent="0.25">
      <c r="A41" s="75" t="s">
        <v>169</v>
      </c>
    </row>
    <row r="42" spans="1:23" s="75" customFormat="1" x14ac:dyDescent="0.25"/>
    <row r="43" spans="1:23" s="75" customFormat="1" ht="18" x14ac:dyDescent="0.25">
      <c r="A43" s="76" t="s">
        <v>99</v>
      </c>
      <c r="B43" s="77">
        <f>A8</f>
        <v>6000</v>
      </c>
      <c r="C43" s="78" t="s">
        <v>20</v>
      </c>
      <c r="D43" s="76" t="s">
        <v>100</v>
      </c>
      <c r="F43" s="76">
        <f>1.25*B43</f>
        <v>7500</v>
      </c>
      <c r="G43" s="78" t="s">
        <v>20</v>
      </c>
    </row>
    <row r="44" spans="1:23" s="75" customFormat="1" ht="18" x14ac:dyDescent="0.25">
      <c r="A44" s="76" t="s">
        <v>101</v>
      </c>
      <c r="B44" s="77">
        <f>A9</f>
        <v>8000</v>
      </c>
      <c r="C44" s="78" t="s">
        <v>20</v>
      </c>
      <c r="D44" s="76" t="s">
        <v>102</v>
      </c>
      <c r="F44" s="76">
        <f>1.45*B44</f>
        <v>11600</v>
      </c>
      <c r="G44" s="78" t="s">
        <v>20</v>
      </c>
    </row>
    <row r="45" spans="1:23" s="75" customFormat="1" x14ac:dyDescent="0.25"/>
    <row r="46" spans="1:23" s="75" customFormat="1" ht="18" x14ac:dyDescent="0.25">
      <c r="A46" s="75" t="s">
        <v>141</v>
      </c>
    </row>
    <row r="47" spans="1:23" s="75" customFormat="1" x14ac:dyDescent="0.25"/>
    <row r="48" spans="1:23" s="75" customFormat="1" ht="18" x14ac:dyDescent="0.25">
      <c r="A48" s="76" t="s">
        <v>103</v>
      </c>
      <c r="D48" s="79">
        <f>0.85*33*(150^1.5)*SQRT(F43)</f>
        <v>4462727.6727635963</v>
      </c>
      <c r="E48" s="78" t="s">
        <v>20</v>
      </c>
    </row>
    <row r="49" spans="1:8" s="75" customFormat="1" ht="18" x14ac:dyDescent="0.25">
      <c r="A49" s="76" t="s">
        <v>104</v>
      </c>
      <c r="D49" s="79">
        <f>0.85*33*(150^1.5)*SQRT(F44)</f>
        <v>5550073.6819433291</v>
      </c>
      <c r="E49" s="78" t="s">
        <v>20</v>
      </c>
    </row>
    <row r="50" spans="1:8" s="75" customFormat="1" x14ac:dyDescent="0.25"/>
    <row r="51" spans="1:8" s="75" customFormat="1" x14ac:dyDescent="0.25"/>
    <row r="52" spans="1:8" s="75" customFormat="1" x14ac:dyDescent="0.25"/>
    <row r="53" spans="1:8" s="75" customFormat="1" x14ac:dyDescent="0.25"/>
    <row r="54" spans="1:8" s="75" customFormat="1" x14ac:dyDescent="0.25"/>
    <row r="55" spans="1:8" s="75" customFormat="1" ht="23.25" x14ac:dyDescent="0.25">
      <c r="A55" s="162" t="s">
        <v>97</v>
      </c>
      <c r="B55" s="162"/>
      <c r="C55" s="162"/>
      <c r="D55" s="162"/>
      <c r="E55" s="162"/>
      <c r="F55" s="162"/>
      <c r="G55" s="162"/>
      <c r="H55" s="162"/>
    </row>
    <row r="56" spans="1:8" s="75" customFormat="1" ht="24" thickBot="1" x14ac:dyDescent="0.3">
      <c r="A56" s="163" t="s">
        <v>98</v>
      </c>
      <c r="B56" s="163"/>
      <c r="C56" s="163"/>
      <c r="D56" s="163"/>
      <c r="E56" s="163"/>
      <c r="F56" s="163"/>
      <c r="G56" s="163"/>
      <c r="H56" s="163"/>
    </row>
    <row r="57" spans="1:8" s="75" customFormat="1" x14ac:dyDescent="0.25">
      <c r="A57" s="76"/>
      <c r="D57" s="76"/>
    </row>
    <row r="58" spans="1:8" s="75" customFormat="1" x14ac:dyDescent="0.25">
      <c r="A58" s="74" t="s">
        <v>180</v>
      </c>
      <c r="D58" s="76"/>
    </row>
    <row r="59" spans="1:8" s="75" customFormat="1" x14ac:dyDescent="0.25"/>
    <row r="60" spans="1:8" s="75" customFormat="1" x14ac:dyDescent="0.25">
      <c r="A60" s="75" t="s">
        <v>19</v>
      </c>
    </row>
    <row r="61" spans="1:8" s="75" customFormat="1" x14ac:dyDescent="0.25"/>
    <row r="62" spans="1:8" s="75" customFormat="1" ht="18" x14ac:dyDescent="0.25">
      <c r="A62" s="76" t="s">
        <v>105</v>
      </c>
      <c r="B62" s="80">
        <f>A7</f>
        <v>80</v>
      </c>
      <c r="C62" s="75" t="s">
        <v>135</v>
      </c>
    </row>
    <row r="63" spans="1:8" s="75" customFormat="1" ht="18" x14ac:dyDescent="0.25">
      <c r="A63" s="76" t="s">
        <v>142</v>
      </c>
      <c r="B63" s="81">
        <f>H10</f>
        <v>673.5</v>
      </c>
      <c r="C63" s="75" t="s">
        <v>143</v>
      </c>
    </row>
    <row r="64" spans="1:8" s="75" customFormat="1" ht="18" x14ac:dyDescent="0.25">
      <c r="A64" s="76" t="s">
        <v>144</v>
      </c>
      <c r="B64" s="80">
        <f>A13</f>
        <v>24.030999999999999</v>
      </c>
      <c r="C64" s="75" t="s">
        <v>145</v>
      </c>
    </row>
    <row r="65" spans="1:5" s="75" customFormat="1" ht="18" x14ac:dyDescent="0.25">
      <c r="A65" s="76" t="s">
        <v>106</v>
      </c>
      <c r="D65" s="79">
        <f>(((H10+A13)*B62^2)/8)*12</f>
        <v>6696297.5999999996</v>
      </c>
      <c r="E65" s="75" t="s">
        <v>136</v>
      </c>
    </row>
    <row r="66" spans="1:5" s="75" customFormat="1" x14ac:dyDescent="0.25"/>
    <row r="67" spans="1:5" s="75" customFormat="1" x14ac:dyDescent="0.25"/>
    <row r="68" spans="1:5" s="75" customFormat="1" ht="18" x14ac:dyDescent="0.25">
      <c r="A68" s="75" t="s">
        <v>107</v>
      </c>
    </row>
    <row r="69" spans="1:5" s="75" customFormat="1" x14ac:dyDescent="0.25"/>
    <row r="70" spans="1:5" s="75" customFormat="1" ht="18" x14ac:dyDescent="0.25">
      <c r="A70" s="76" t="s">
        <v>108</v>
      </c>
      <c r="B70" s="76">
        <f>SUM(B22:B36)</f>
        <v>24</v>
      </c>
      <c r="C70" s="75" t="s">
        <v>13</v>
      </c>
    </row>
    <row r="71" spans="1:5" s="75" customFormat="1" ht="18" x14ac:dyDescent="0.25">
      <c r="A71" s="76" t="s">
        <v>12</v>
      </c>
      <c r="E71" s="78" t="s">
        <v>174</v>
      </c>
    </row>
    <row r="72" spans="1:5" s="75" customFormat="1" x14ac:dyDescent="0.25">
      <c r="A72" s="76"/>
      <c r="C72" s="82"/>
      <c r="D72" s="66"/>
    </row>
    <row r="73" spans="1:5" s="75" customFormat="1" ht="18" x14ac:dyDescent="0.25">
      <c r="A73" s="76" t="s">
        <v>12</v>
      </c>
      <c r="B73" s="82">
        <f>((B22*C22)+(B23*C23)+(B24*C24)+(B25*C25)+(B26*C26)+(B27*C27)+(B28*C28)+(B29*C29)+(B30*C30)+(B31*C31)+(B32*C32)+(B33*C33)+(B34*C34)+(B35*C35)+(B36*C36))/B70</f>
        <v>5.333333333333333</v>
      </c>
      <c r="C73" s="66" t="s">
        <v>146</v>
      </c>
    </row>
    <row r="74" spans="1:5" s="75" customFormat="1" ht="18" x14ac:dyDescent="0.25">
      <c r="A74" s="76" t="s">
        <v>11</v>
      </c>
      <c r="C74" s="82">
        <f>H9-B73</f>
        <v>10.352666666666668</v>
      </c>
      <c r="D74" s="66" t="s">
        <v>147</v>
      </c>
    </row>
    <row r="75" spans="1:5" s="75" customFormat="1" x14ac:dyDescent="0.25">
      <c r="A75" s="76"/>
      <c r="C75" s="82"/>
      <c r="D75" s="66"/>
    </row>
    <row r="76" spans="1:5" s="75" customFormat="1" ht="18" x14ac:dyDescent="0.25">
      <c r="A76" s="76" t="s">
        <v>109</v>
      </c>
      <c r="B76" s="76">
        <f>SUM(F22:F36)</f>
        <v>20</v>
      </c>
      <c r="C76" s="75" t="s">
        <v>132</v>
      </c>
      <c r="D76" s="66"/>
    </row>
    <row r="77" spans="1:5" s="75" customFormat="1" ht="18" x14ac:dyDescent="0.25">
      <c r="A77" s="76" t="s">
        <v>16</v>
      </c>
      <c r="B77" s="76"/>
      <c r="D77" s="66"/>
      <c r="E77" s="78" t="s">
        <v>175</v>
      </c>
    </row>
    <row r="78" spans="1:5" s="75" customFormat="1" x14ac:dyDescent="0.25">
      <c r="A78" s="76"/>
      <c r="B78" s="76"/>
      <c r="D78" s="66"/>
    </row>
    <row r="79" spans="1:5" s="75" customFormat="1" ht="18" x14ac:dyDescent="0.25">
      <c r="A79" s="76" t="s">
        <v>16</v>
      </c>
      <c r="B79" s="82">
        <f>((F22*G22)+(F23*G23)+(F24*G24)+(F25*G25)+(F26*G26)+(F27*G27)+(F28*G28)+(F29*G29)+(F30*G30)+(F31*G31)+(F32*G32)+(F33*G33)+(F34*G34)+(F35*G35)+(F36*G36))/B76</f>
        <v>6</v>
      </c>
      <c r="C79" s="66" t="s">
        <v>148</v>
      </c>
      <c r="D79" s="66"/>
    </row>
    <row r="80" spans="1:5" s="75" customFormat="1" ht="18" x14ac:dyDescent="0.25">
      <c r="A80" s="76" t="s">
        <v>110</v>
      </c>
      <c r="B80" s="76"/>
      <c r="C80" s="82">
        <f>H9-B79</f>
        <v>9.6859999999999999</v>
      </c>
      <c r="D80" s="66" t="s">
        <v>149</v>
      </c>
    </row>
    <row r="81" spans="1:10" s="75" customFormat="1" x14ac:dyDescent="0.25">
      <c r="D81" s="66"/>
    </row>
    <row r="82" spans="1:10" s="75" customFormat="1" x14ac:dyDescent="0.25">
      <c r="A82" s="75" t="s">
        <v>18</v>
      </c>
    </row>
    <row r="83" spans="1:10" s="75" customFormat="1" x14ac:dyDescent="0.25"/>
    <row r="84" spans="1:10" s="75" customFormat="1" ht="18" x14ac:dyDescent="0.25">
      <c r="A84" s="76" t="s">
        <v>150</v>
      </c>
      <c r="B84" s="76">
        <f>IF(A10=0.5,0.153,0.217)</f>
        <v>0.217</v>
      </c>
      <c r="C84" s="75" t="s">
        <v>151</v>
      </c>
    </row>
    <row r="85" spans="1:10" s="75" customFormat="1" ht="18" x14ac:dyDescent="0.25">
      <c r="A85" s="76" t="s">
        <v>111</v>
      </c>
      <c r="D85" s="76">
        <f>B84*B70</f>
        <v>5.2080000000000002</v>
      </c>
      <c r="E85" s="75" t="s">
        <v>152</v>
      </c>
    </row>
    <row r="86" spans="1:10" s="75" customFormat="1" ht="18" x14ac:dyDescent="0.25">
      <c r="A86" s="76" t="s">
        <v>112</v>
      </c>
      <c r="B86" s="76">
        <v>270000</v>
      </c>
      <c r="C86" s="75" t="s">
        <v>153</v>
      </c>
    </row>
    <row r="87" spans="1:10" s="75" customFormat="1" ht="18" x14ac:dyDescent="0.25">
      <c r="A87" s="76" t="s">
        <v>113</v>
      </c>
      <c r="D87" s="76">
        <f>0.75*B86*D85</f>
        <v>1054620</v>
      </c>
      <c r="E87" s="75" t="s">
        <v>133</v>
      </c>
    </row>
    <row r="88" spans="1:10" s="75" customFormat="1" x14ac:dyDescent="0.25">
      <c r="A88" s="76"/>
      <c r="D88" s="76"/>
    </row>
    <row r="89" spans="1:10" s="75" customFormat="1" x14ac:dyDescent="0.25">
      <c r="A89" s="75" t="s">
        <v>46</v>
      </c>
    </row>
    <row r="90" spans="1:10" s="75" customFormat="1" ht="18" x14ac:dyDescent="0.25">
      <c r="A90" s="76" t="s">
        <v>154</v>
      </c>
      <c r="B90" s="75">
        <v>28500000</v>
      </c>
      <c r="C90" s="75" t="s">
        <v>155</v>
      </c>
    </row>
    <row r="91" spans="1:10" s="75" customFormat="1" x14ac:dyDescent="0.25"/>
    <row r="92" spans="1:10" s="75" customFormat="1" x14ac:dyDescent="0.25">
      <c r="A92" s="164" t="s">
        <v>21</v>
      </c>
      <c r="B92" s="164"/>
      <c r="C92" s="164"/>
      <c r="D92" s="164"/>
      <c r="E92" s="164"/>
      <c r="F92" s="164"/>
      <c r="G92" s="83"/>
    </row>
    <row r="93" spans="1:10" s="75" customFormat="1" ht="18" x14ac:dyDescent="0.25">
      <c r="A93" s="76" t="s">
        <v>114</v>
      </c>
      <c r="C93" s="75">
        <f>0.9*D87</f>
        <v>949158</v>
      </c>
      <c r="D93" s="78" t="s">
        <v>133</v>
      </c>
    </row>
    <row r="94" spans="1:10" s="75" customFormat="1" ht="18" x14ac:dyDescent="0.25">
      <c r="A94" s="76" t="s">
        <v>116</v>
      </c>
      <c r="E94" s="82">
        <f>((C93/$H$7)+((C93*$C$74^2)/$H$8))-($D$65*$C$74/$H$8)</f>
        <v>1840.9858580953853</v>
      </c>
      <c r="F94" s="84" t="s">
        <v>20</v>
      </c>
    </row>
    <row r="95" spans="1:10" s="75" customFormat="1" x14ac:dyDescent="0.25">
      <c r="A95" s="76"/>
      <c r="B95" s="82"/>
      <c r="C95" s="84"/>
    </row>
    <row r="96" spans="1:10" s="75" customFormat="1" ht="18" x14ac:dyDescent="0.25">
      <c r="A96" s="85" t="s">
        <v>118</v>
      </c>
      <c r="C96" s="82">
        <f>(B90/D48)*E94</f>
        <v>11756.956911338262</v>
      </c>
      <c r="D96" s="84" t="s">
        <v>20</v>
      </c>
      <c r="H96" s="85"/>
      <c r="J96" s="84"/>
    </row>
    <row r="97" spans="1:10" s="75" customFormat="1" x14ac:dyDescent="0.25">
      <c r="A97" s="85"/>
      <c r="B97" s="82"/>
      <c r="C97" s="84"/>
      <c r="D97" s="86"/>
      <c r="E97" s="82"/>
      <c r="F97" s="84"/>
      <c r="H97" s="85"/>
      <c r="J97" s="84"/>
    </row>
    <row r="98" spans="1:10" s="75" customFormat="1" x14ac:dyDescent="0.25">
      <c r="A98" s="164" t="s">
        <v>22</v>
      </c>
      <c r="B98" s="164"/>
      <c r="C98" s="164"/>
      <c r="D98" s="164"/>
      <c r="E98" s="164"/>
      <c r="F98" s="164"/>
      <c r="G98" s="83"/>
      <c r="H98" s="85"/>
      <c r="J98" s="84"/>
    </row>
    <row r="99" spans="1:10" s="75" customFormat="1" ht="18" x14ac:dyDescent="0.25">
      <c r="A99" s="76" t="s">
        <v>115</v>
      </c>
      <c r="D99" s="87">
        <f>D87-(C96*D85)</f>
        <v>993389.76840575028</v>
      </c>
      <c r="E99" s="78" t="s">
        <v>133</v>
      </c>
      <c r="H99" s="85"/>
      <c r="J99" s="84"/>
    </row>
    <row r="100" spans="1:10" s="75" customFormat="1" ht="18" x14ac:dyDescent="0.25">
      <c r="A100" s="88" t="s">
        <v>116</v>
      </c>
      <c r="D100" s="82">
        <f>((D99/$H$7)+((D99*$C$74^2)/$H$8))-($D$65*$C$74/$H$8)</f>
        <v>1963.9486450510983</v>
      </c>
      <c r="E100" s="84" t="s">
        <v>20</v>
      </c>
      <c r="J100" s="84"/>
    </row>
    <row r="101" spans="1:10" s="75" customFormat="1" x14ac:dyDescent="0.25">
      <c r="A101" s="88"/>
      <c r="B101" s="82"/>
      <c r="C101" s="84"/>
      <c r="D101" s="86"/>
      <c r="E101" s="82"/>
      <c r="F101" s="84"/>
      <c r="H101" s="85"/>
      <c r="J101" s="84"/>
    </row>
    <row r="102" spans="1:10" s="75" customFormat="1" ht="18" x14ac:dyDescent="0.25">
      <c r="A102" s="86" t="s">
        <v>118</v>
      </c>
      <c r="C102" s="82">
        <f>(B90/D48)*D100</f>
        <v>12542.225402988717</v>
      </c>
      <c r="D102" s="84" t="s">
        <v>20</v>
      </c>
      <c r="H102" s="85"/>
      <c r="J102" s="84"/>
    </row>
    <row r="103" spans="1:10" s="75" customFormat="1" x14ac:dyDescent="0.25">
      <c r="A103" s="86"/>
      <c r="D103" s="86"/>
      <c r="E103" s="82"/>
      <c r="F103" s="84"/>
      <c r="H103" s="85"/>
      <c r="J103" s="84"/>
    </row>
    <row r="104" spans="1:10" s="75" customFormat="1" x14ac:dyDescent="0.25">
      <c r="A104" s="86"/>
      <c r="D104" s="86"/>
      <c r="E104" s="82"/>
      <c r="F104" s="84"/>
      <c r="H104" s="85"/>
      <c r="J104" s="84"/>
    </row>
    <row r="105" spans="1:10" s="75" customFormat="1" x14ac:dyDescent="0.25">
      <c r="A105" s="86"/>
      <c r="D105" s="86"/>
      <c r="E105" s="82"/>
      <c r="F105" s="84"/>
      <c r="H105" s="85"/>
      <c r="J105" s="84"/>
    </row>
    <row r="106" spans="1:10" s="75" customFormat="1" ht="23.25" x14ac:dyDescent="0.25">
      <c r="A106" s="162" t="s">
        <v>97</v>
      </c>
      <c r="B106" s="162"/>
      <c r="C106" s="162"/>
      <c r="D106" s="162"/>
      <c r="E106" s="162"/>
      <c r="F106" s="162"/>
      <c r="G106" s="162"/>
      <c r="H106" s="162"/>
      <c r="J106" s="84"/>
    </row>
    <row r="107" spans="1:10" s="75" customFormat="1" ht="24" thickBot="1" x14ac:dyDescent="0.3">
      <c r="A107" s="163" t="s">
        <v>98</v>
      </c>
      <c r="B107" s="163"/>
      <c r="C107" s="163"/>
      <c r="D107" s="163"/>
      <c r="E107" s="163"/>
      <c r="F107" s="163"/>
      <c r="G107" s="163"/>
      <c r="H107" s="163"/>
      <c r="J107" s="84"/>
    </row>
    <row r="108" spans="1:10" s="75" customFormat="1" x14ac:dyDescent="0.25">
      <c r="A108" s="76"/>
      <c r="D108" s="76"/>
      <c r="J108" s="84"/>
    </row>
    <row r="109" spans="1:10" s="75" customFormat="1" x14ac:dyDescent="0.25">
      <c r="A109" s="74" t="s">
        <v>181</v>
      </c>
      <c r="D109" s="76"/>
      <c r="J109" s="84"/>
    </row>
    <row r="110" spans="1:10" s="75" customFormat="1" x14ac:dyDescent="0.25">
      <c r="A110" s="86"/>
      <c r="D110" s="86"/>
      <c r="E110" s="82"/>
      <c r="F110" s="84"/>
      <c r="H110" s="85"/>
      <c r="J110" s="84"/>
    </row>
    <row r="111" spans="1:10" s="75" customFormat="1" x14ac:dyDescent="0.25">
      <c r="A111" s="164" t="s">
        <v>45</v>
      </c>
      <c r="B111" s="164"/>
      <c r="C111" s="164"/>
      <c r="D111" s="164"/>
      <c r="E111" s="164"/>
      <c r="F111" s="164"/>
      <c r="G111" s="83"/>
      <c r="H111" s="85"/>
      <c r="J111" s="84"/>
    </row>
    <row r="112" spans="1:10" s="75" customFormat="1" ht="18" x14ac:dyDescent="0.25">
      <c r="A112" s="76" t="s">
        <v>115</v>
      </c>
      <c r="D112" s="79">
        <f>D87-(C102*D85)</f>
        <v>989300.09010123473</v>
      </c>
      <c r="E112" s="78" t="s">
        <v>133</v>
      </c>
      <c r="H112" s="85"/>
      <c r="J112" s="84"/>
    </row>
    <row r="113" spans="1:10" s="75" customFormat="1" ht="18" x14ac:dyDescent="0.25">
      <c r="A113" s="76" t="s">
        <v>117</v>
      </c>
      <c r="C113" s="79">
        <f>D112/D85</f>
        <v>189957.77459701127</v>
      </c>
      <c r="D113" s="84" t="s">
        <v>20</v>
      </c>
      <c r="H113" s="85"/>
      <c r="J113" s="84"/>
    </row>
    <row r="114" spans="1:10" s="75" customFormat="1" x14ac:dyDescent="0.25">
      <c r="A114" s="85"/>
      <c r="B114" s="82"/>
      <c r="C114" s="84"/>
      <c r="D114" s="86"/>
      <c r="E114" s="82"/>
      <c r="F114" s="84"/>
      <c r="H114" s="85"/>
      <c r="J114" s="84"/>
    </row>
    <row r="115" spans="1:10" s="75" customFormat="1" x14ac:dyDescent="0.25">
      <c r="A115" s="85"/>
      <c r="B115" s="82"/>
      <c r="C115" s="84"/>
      <c r="D115" s="86"/>
      <c r="E115" s="82"/>
      <c r="F115" s="84"/>
      <c r="H115" s="85"/>
      <c r="J115" s="84"/>
    </row>
    <row r="116" spans="1:10" s="75" customFormat="1" x14ac:dyDescent="0.25">
      <c r="A116" s="75" t="s">
        <v>47</v>
      </c>
      <c r="B116" s="76"/>
    </row>
    <row r="117" spans="1:10" s="75" customFormat="1" x14ac:dyDescent="0.25">
      <c r="B117" s="76"/>
    </row>
    <row r="118" spans="1:10" s="75" customFormat="1" x14ac:dyDescent="0.25">
      <c r="A118" s="78" t="s">
        <v>25</v>
      </c>
    </row>
    <row r="119" spans="1:10" s="75" customFormat="1" ht="18" x14ac:dyDescent="0.25">
      <c r="A119" s="76" t="s">
        <v>119</v>
      </c>
      <c r="D119" s="82">
        <f>1.45-0.13*H11</f>
        <v>0.99695</v>
      </c>
    </row>
    <row r="120" spans="1:10" s="75" customFormat="1" x14ac:dyDescent="0.25">
      <c r="A120" s="76"/>
    </row>
    <row r="121" spans="1:10" s="75" customFormat="1" x14ac:dyDescent="0.25">
      <c r="A121" s="78" t="s">
        <v>26</v>
      </c>
    </row>
    <row r="122" spans="1:10" s="75" customFormat="1" ht="18" x14ac:dyDescent="0.25">
      <c r="A122" s="76" t="s">
        <v>120</v>
      </c>
      <c r="D122" s="82">
        <f>1.56-0.008*A11</f>
        <v>1</v>
      </c>
    </row>
    <row r="123" spans="1:10" s="75" customFormat="1" x14ac:dyDescent="0.25">
      <c r="A123" s="76"/>
    </row>
    <row r="124" spans="1:10" s="75" customFormat="1" x14ac:dyDescent="0.25">
      <c r="A124" s="78" t="s">
        <v>156</v>
      </c>
    </row>
    <row r="125" spans="1:10" s="75" customFormat="1" ht="18" x14ac:dyDescent="0.25">
      <c r="A125" s="76" t="s">
        <v>121</v>
      </c>
      <c r="D125" s="82">
        <f>5/(1+F43/1000)</f>
        <v>0.58823529411764708</v>
      </c>
    </row>
    <row r="126" spans="1:10" s="75" customFormat="1" x14ac:dyDescent="0.25">
      <c r="A126" s="76"/>
    </row>
    <row r="127" spans="1:10" s="75" customFormat="1" x14ac:dyDescent="0.25">
      <c r="A127" s="76"/>
    </row>
    <row r="128" spans="1:10" s="75" customFormat="1" x14ac:dyDescent="0.25">
      <c r="A128" s="75" t="s">
        <v>27</v>
      </c>
    </row>
    <row r="129" spans="1:5" s="75" customFormat="1" ht="18" x14ac:dyDescent="0.25">
      <c r="A129" s="76" t="s">
        <v>122</v>
      </c>
      <c r="D129" s="82">
        <f>(28-1)/(61-4*F43/1000+(28-1))</f>
        <v>0.46551724137931033</v>
      </c>
    </row>
    <row r="130" spans="1:5" s="75" customFormat="1" x14ac:dyDescent="0.25">
      <c r="A130" s="76"/>
    </row>
    <row r="131" spans="1:5" s="75" customFormat="1" x14ac:dyDescent="0.25">
      <c r="A131" s="76"/>
    </row>
    <row r="132" spans="1:5" s="75" customFormat="1" x14ac:dyDescent="0.25">
      <c r="A132" s="78" t="s">
        <v>28</v>
      </c>
    </row>
    <row r="133" spans="1:5" s="75" customFormat="1" ht="18" x14ac:dyDescent="0.25">
      <c r="A133" s="85" t="s">
        <v>29</v>
      </c>
      <c r="D133" s="82">
        <f>1.9*D119*D122*D125*D129*(1^-0.118)</f>
        <v>0.51869710953346848</v>
      </c>
      <c r="E133" s="75" t="s">
        <v>157</v>
      </c>
    </row>
    <row r="134" spans="1:5" s="75" customFormat="1" x14ac:dyDescent="0.25">
      <c r="A134" s="76"/>
    </row>
    <row r="135" spans="1:5" s="75" customFormat="1" x14ac:dyDescent="0.25">
      <c r="A135" s="78" t="s">
        <v>30</v>
      </c>
    </row>
    <row r="136" spans="1:5" s="75" customFormat="1" ht="18" x14ac:dyDescent="0.25">
      <c r="A136" s="76" t="s">
        <v>122</v>
      </c>
      <c r="D136" s="82">
        <f>(365-1)/(61-4*F43/1000+(365-1))</f>
        <v>0.92151898734177218</v>
      </c>
    </row>
    <row r="137" spans="1:5" s="75" customFormat="1" x14ac:dyDescent="0.25">
      <c r="A137" s="76"/>
    </row>
    <row r="138" spans="1:5" s="75" customFormat="1" x14ac:dyDescent="0.25">
      <c r="A138" s="76"/>
    </row>
    <row r="139" spans="1:5" s="75" customFormat="1" x14ac:dyDescent="0.25">
      <c r="A139" s="78" t="s">
        <v>31</v>
      </c>
    </row>
    <row r="140" spans="1:5" s="75" customFormat="1" ht="18" x14ac:dyDescent="0.25">
      <c r="A140" s="85" t="s">
        <v>32</v>
      </c>
      <c r="D140" s="82">
        <f>1.9*D119*D122*D125*D136*(1^-0.118)</f>
        <v>1.0267916902457186</v>
      </c>
      <c r="E140" s="75" t="s">
        <v>158</v>
      </c>
    </row>
    <row r="141" spans="1:5" s="75" customFormat="1" x14ac:dyDescent="0.25">
      <c r="A141" s="85"/>
      <c r="D141" s="82"/>
    </row>
    <row r="142" spans="1:5" s="75" customFormat="1" x14ac:dyDescent="0.25">
      <c r="A142" s="78" t="s">
        <v>33</v>
      </c>
    </row>
    <row r="143" spans="1:5" s="75" customFormat="1" ht="18" x14ac:dyDescent="0.25">
      <c r="A143" s="76" t="s">
        <v>122</v>
      </c>
      <c r="D143" s="82">
        <f>(5*365-1)/(61-4*F43/1000+(5*365-1))</f>
        <v>0.98328840970350406</v>
      </c>
    </row>
    <row r="144" spans="1:5" s="75" customFormat="1" x14ac:dyDescent="0.25">
      <c r="A144" s="76"/>
    </row>
    <row r="145" spans="1:8" s="75" customFormat="1" x14ac:dyDescent="0.25">
      <c r="A145" s="76"/>
    </row>
    <row r="146" spans="1:8" s="75" customFormat="1" x14ac:dyDescent="0.25">
      <c r="A146" s="76"/>
    </row>
    <row r="147" spans="1:8" s="75" customFormat="1" x14ac:dyDescent="0.25">
      <c r="A147" s="78" t="s">
        <v>34</v>
      </c>
    </row>
    <row r="148" spans="1:8" s="75" customFormat="1" ht="18" x14ac:dyDescent="0.25">
      <c r="A148" s="85" t="s">
        <v>35</v>
      </c>
      <c r="D148" s="82">
        <f>1.9*D119*D122*D125*D143*(1^-0.118)</f>
        <v>1.0956175424131918</v>
      </c>
      <c r="E148" s="75" t="s">
        <v>159</v>
      </c>
    </row>
    <row r="149" spans="1:8" s="75" customFormat="1" x14ac:dyDescent="0.25">
      <c r="A149" s="76"/>
    </row>
    <row r="150" spans="1:8" s="75" customFormat="1" x14ac:dyDescent="0.25">
      <c r="A150" s="78" t="s">
        <v>160</v>
      </c>
    </row>
    <row r="151" spans="1:8" s="75" customFormat="1" x14ac:dyDescent="0.25">
      <c r="A151" s="85" t="s">
        <v>36</v>
      </c>
      <c r="D151" s="82">
        <f>D140-D133</f>
        <v>0.50809458071225011</v>
      </c>
    </row>
    <row r="152" spans="1:8" s="75" customFormat="1" x14ac:dyDescent="0.25">
      <c r="B152" s="85"/>
    </row>
    <row r="153" spans="1:8" s="75" customFormat="1" x14ac:dyDescent="0.25">
      <c r="A153" s="75" t="s">
        <v>48</v>
      </c>
      <c r="B153" s="85"/>
    </row>
    <row r="154" spans="1:8" s="75" customFormat="1" x14ac:dyDescent="0.25">
      <c r="B154" s="85"/>
    </row>
    <row r="155" spans="1:8" s="75" customFormat="1" x14ac:dyDescent="0.25">
      <c r="A155" s="89" t="s">
        <v>37</v>
      </c>
    </row>
    <row r="156" spans="1:8" s="75" customFormat="1" ht="18" x14ac:dyDescent="0.25">
      <c r="A156" s="76" t="s">
        <v>123</v>
      </c>
      <c r="D156" s="82">
        <f>2-0.014*A11</f>
        <v>1.02</v>
      </c>
    </row>
    <row r="157" spans="1:8" s="75" customFormat="1" x14ac:dyDescent="0.25">
      <c r="A157" s="76"/>
      <c r="D157" s="82"/>
    </row>
    <row r="158" spans="1:8" s="75" customFormat="1" x14ac:dyDescent="0.25">
      <c r="A158" s="76"/>
      <c r="D158" s="82"/>
    </row>
    <row r="159" spans="1:8" s="75" customFormat="1" x14ac:dyDescent="0.25">
      <c r="A159" s="76"/>
      <c r="D159" s="82"/>
    </row>
    <row r="160" spans="1:8" s="75" customFormat="1" ht="23.25" x14ac:dyDescent="0.25">
      <c r="A160" s="162" t="s">
        <v>97</v>
      </c>
      <c r="B160" s="162"/>
      <c r="C160" s="162"/>
      <c r="D160" s="162"/>
      <c r="E160" s="162"/>
      <c r="F160" s="162"/>
      <c r="G160" s="162"/>
      <c r="H160" s="162"/>
    </row>
    <row r="161" spans="1:15" s="75" customFormat="1" ht="24" thickBot="1" x14ac:dyDescent="0.3">
      <c r="A161" s="163" t="s">
        <v>98</v>
      </c>
      <c r="B161" s="163"/>
      <c r="C161" s="163"/>
      <c r="D161" s="163"/>
      <c r="E161" s="163"/>
      <c r="F161" s="163"/>
      <c r="G161" s="163"/>
      <c r="H161" s="163"/>
    </row>
    <row r="162" spans="1:15" s="75" customFormat="1" x14ac:dyDescent="0.25">
      <c r="A162" s="76"/>
      <c r="D162" s="76"/>
    </row>
    <row r="163" spans="1:15" s="75" customFormat="1" x14ac:dyDescent="0.25">
      <c r="A163" s="74" t="s">
        <v>182</v>
      </c>
      <c r="D163" s="76"/>
    </row>
    <row r="164" spans="1:15" s="75" customFormat="1" x14ac:dyDescent="0.25">
      <c r="A164" s="85"/>
    </row>
    <row r="165" spans="1:15" s="75" customFormat="1" x14ac:dyDescent="0.25">
      <c r="A165" s="89" t="s">
        <v>38</v>
      </c>
    </row>
    <row r="166" spans="1:15" s="75" customFormat="1" ht="18" x14ac:dyDescent="0.25">
      <c r="A166" s="85" t="s">
        <v>39</v>
      </c>
      <c r="D166" s="90">
        <f>D119*D156*D125*D129*(0.48*10^-3)</f>
        <v>1.3366005517241377E-4</v>
      </c>
      <c r="E166" s="75" t="s">
        <v>157</v>
      </c>
    </row>
    <row r="167" spans="1:15" s="75" customFormat="1" x14ac:dyDescent="0.25">
      <c r="A167" s="85"/>
    </row>
    <row r="168" spans="1:15" s="75" customFormat="1" x14ac:dyDescent="0.25">
      <c r="A168" s="89" t="s">
        <v>40</v>
      </c>
    </row>
    <row r="169" spans="1:15" s="75" customFormat="1" ht="18" x14ac:dyDescent="0.25">
      <c r="A169" s="85" t="s">
        <v>39</v>
      </c>
      <c r="D169" s="90">
        <f>D119*D156*D125*D136*(0.48*10^-3)</f>
        <v>2.6458800607594938E-4</v>
      </c>
      <c r="E169" s="75" t="s">
        <v>158</v>
      </c>
    </row>
    <row r="170" spans="1:15" s="75" customFormat="1" x14ac:dyDescent="0.25">
      <c r="B170" s="85"/>
    </row>
    <row r="171" spans="1:15" s="75" customFormat="1" ht="15" customHeight="1" x14ac:dyDescent="0.25">
      <c r="A171" s="75" t="s">
        <v>176</v>
      </c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</row>
    <row r="172" spans="1:15" s="75" customFormat="1" ht="15" customHeight="1" x14ac:dyDescent="0.25">
      <c r="A172" s="75" t="s">
        <v>177</v>
      </c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</row>
    <row r="173" spans="1:15" s="75" customFormat="1" x14ac:dyDescent="0.25">
      <c r="B173" s="85"/>
    </row>
    <row r="174" spans="1:15" s="75" customFormat="1" ht="18" x14ac:dyDescent="0.25">
      <c r="A174" s="85" t="s">
        <v>41</v>
      </c>
      <c r="E174" s="82">
        <f>1/(1+((B90*D85)/(D48*H7))*(1+((H7*C74^2)/H8))*(1+(0.7*D148)))</f>
        <v>0.85957108306250463</v>
      </c>
    </row>
    <row r="175" spans="1:15" s="75" customFormat="1" x14ac:dyDescent="0.25">
      <c r="B175" s="85"/>
    </row>
    <row r="176" spans="1:15" s="75" customFormat="1" x14ac:dyDescent="0.25">
      <c r="B176" s="85"/>
    </row>
    <row r="177" spans="1:5" s="75" customFormat="1" x14ac:dyDescent="0.25">
      <c r="A177" s="75" t="s">
        <v>49</v>
      </c>
      <c r="B177" s="85"/>
    </row>
    <row r="178" spans="1:5" s="75" customFormat="1" x14ac:dyDescent="0.25">
      <c r="B178" s="85"/>
    </row>
    <row r="179" spans="1:5" s="75" customFormat="1" ht="18" x14ac:dyDescent="0.25">
      <c r="A179" s="85" t="s">
        <v>42</v>
      </c>
      <c r="D179" s="92">
        <f>D166*B90*E174</f>
        <v>3274.3740740222561</v>
      </c>
      <c r="E179" s="75" t="s">
        <v>161</v>
      </c>
    </row>
    <row r="180" spans="1:5" s="75" customFormat="1" x14ac:dyDescent="0.25">
      <c r="B180" s="76"/>
    </row>
    <row r="181" spans="1:5" s="75" customFormat="1" x14ac:dyDescent="0.25">
      <c r="A181" s="75" t="s">
        <v>50</v>
      </c>
      <c r="B181" s="76"/>
    </row>
    <row r="182" spans="1:5" s="75" customFormat="1" x14ac:dyDescent="0.25">
      <c r="B182" s="76"/>
    </row>
    <row r="183" spans="1:5" s="75" customFormat="1" ht="18" x14ac:dyDescent="0.25">
      <c r="A183" s="85" t="s">
        <v>43</v>
      </c>
      <c r="D183" s="92">
        <f>(B90/D48)*D100*D133*E174</f>
        <v>5592.0394458183009</v>
      </c>
      <c r="E183" s="75" t="s">
        <v>20</v>
      </c>
    </row>
    <row r="184" spans="1:5" s="75" customFormat="1" x14ac:dyDescent="0.25">
      <c r="B184" s="76"/>
    </row>
    <row r="185" spans="1:5" s="75" customFormat="1" x14ac:dyDescent="0.25">
      <c r="B185" s="76"/>
    </row>
    <row r="186" spans="1:5" s="75" customFormat="1" x14ac:dyDescent="0.25">
      <c r="A186" s="75" t="s">
        <v>51</v>
      </c>
      <c r="B186" s="76"/>
    </row>
    <row r="187" spans="1:5" s="75" customFormat="1" x14ac:dyDescent="0.25">
      <c r="B187" s="76"/>
    </row>
    <row r="188" spans="1:5" s="75" customFormat="1" ht="18" x14ac:dyDescent="0.25">
      <c r="A188" s="85" t="s">
        <v>44</v>
      </c>
      <c r="D188" s="92">
        <f>(C113/30)*(C113/(0.9*B86)-0.55)</f>
        <v>1467.2290198845521</v>
      </c>
      <c r="E188" s="75" t="s">
        <v>20</v>
      </c>
    </row>
    <row r="189" spans="1:5" s="75" customFormat="1" x14ac:dyDescent="0.25">
      <c r="B189" s="76"/>
    </row>
    <row r="190" spans="1:5" s="75" customFormat="1" x14ac:dyDescent="0.25">
      <c r="B190" s="76"/>
    </row>
    <row r="191" spans="1:5" s="75" customFormat="1" x14ac:dyDescent="0.25">
      <c r="A191" s="75" t="s">
        <v>52</v>
      </c>
      <c r="B191" s="76"/>
    </row>
    <row r="192" spans="1:5" s="75" customFormat="1" x14ac:dyDescent="0.25">
      <c r="B192" s="76"/>
    </row>
    <row r="193" spans="1:7" s="75" customFormat="1" ht="18" x14ac:dyDescent="0.25">
      <c r="A193" s="85" t="s">
        <v>53</v>
      </c>
      <c r="D193" s="92">
        <f>D169*B90*E174</f>
        <v>6481.8176700194917</v>
      </c>
      <c r="E193" s="75" t="s">
        <v>162</v>
      </c>
    </row>
    <row r="194" spans="1:7" s="75" customFormat="1" x14ac:dyDescent="0.25">
      <c r="B194" s="76"/>
    </row>
    <row r="195" spans="1:7" s="75" customFormat="1" x14ac:dyDescent="0.25">
      <c r="A195" s="75" t="s">
        <v>54</v>
      </c>
      <c r="B195" s="76"/>
    </row>
    <row r="196" spans="1:7" s="75" customFormat="1" x14ac:dyDescent="0.25">
      <c r="B196" s="76"/>
    </row>
    <row r="197" spans="1:7" s="75" customFormat="1" ht="18" x14ac:dyDescent="0.25">
      <c r="A197" s="85" t="s">
        <v>55</v>
      </c>
      <c r="D197" s="92">
        <f>(B90/D48)*D100*D140*E174</f>
        <v>11069.773725280449</v>
      </c>
      <c r="E197" s="75" t="s">
        <v>20</v>
      </c>
    </row>
    <row r="198" spans="1:7" s="75" customFormat="1" x14ac:dyDescent="0.25">
      <c r="B198" s="76"/>
    </row>
    <row r="199" spans="1:7" s="75" customFormat="1" x14ac:dyDescent="0.25">
      <c r="B199" s="76"/>
    </row>
    <row r="200" spans="1:7" s="75" customFormat="1" x14ac:dyDescent="0.25">
      <c r="A200" s="75" t="s">
        <v>56</v>
      </c>
      <c r="B200" s="76"/>
    </row>
    <row r="201" spans="1:7" s="75" customFormat="1" x14ac:dyDescent="0.25">
      <c r="B201" s="76"/>
    </row>
    <row r="202" spans="1:7" s="75" customFormat="1" ht="18" x14ac:dyDescent="0.25">
      <c r="A202" s="85" t="s">
        <v>57</v>
      </c>
      <c r="D202" s="92">
        <f>(C113/30)*(C113/(0.9*B86)-0.55)</f>
        <v>1467.2290198845521</v>
      </c>
      <c r="E202" s="75" t="s">
        <v>20</v>
      </c>
    </row>
    <row r="203" spans="1:7" s="75" customFormat="1" x14ac:dyDescent="0.25">
      <c r="B203" s="76"/>
    </row>
    <row r="204" spans="1:7" s="75" customFormat="1" x14ac:dyDescent="0.25">
      <c r="B204" s="76"/>
    </row>
    <row r="205" spans="1:7" s="75" customFormat="1" x14ac:dyDescent="0.25">
      <c r="A205" s="75" t="s">
        <v>58</v>
      </c>
      <c r="B205" s="76"/>
    </row>
    <row r="206" spans="1:7" s="75" customFormat="1" x14ac:dyDescent="0.25">
      <c r="B206" s="76"/>
    </row>
    <row r="207" spans="1:7" s="75" customFormat="1" ht="18" x14ac:dyDescent="0.25">
      <c r="A207" s="76" t="s">
        <v>124</v>
      </c>
      <c r="F207" s="92">
        <f>D85*(0.75*B86-(C102+D179+D183+D188))</f>
        <v>935482.47975434631</v>
      </c>
      <c r="G207" s="75" t="s">
        <v>133</v>
      </c>
    </row>
    <row r="208" spans="1:7" s="75" customFormat="1" x14ac:dyDescent="0.25">
      <c r="B208" s="76"/>
    </row>
    <row r="209" spans="1:8" s="75" customFormat="1" x14ac:dyDescent="0.25">
      <c r="A209" s="75" t="s">
        <v>59</v>
      </c>
      <c r="B209" s="76"/>
    </row>
    <row r="210" spans="1:8" s="75" customFormat="1" x14ac:dyDescent="0.25">
      <c r="B210" s="76"/>
    </row>
    <row r="211" spans="1:8" s="75" customFormat="1" ht="18" x14ac:dyDescent="0.25">
      <c r="A211" s="76" t="s">
        <v>125</v>
      </c>
      <c r="F211" s="92">
        <f>D85*(0.75*B86-(C102+D193+D197+D202))</f>
        <v>890250.07337895397</v>
      </c>
      <c r="G211" s="75" t="s">
        <v>133</v>
      </c>
    </row>
    <row r="212" spans="1:8" s="75" customFormat="1" x14ac:dyDescent="0.25">
      <c r="B212" s="76"/>
    </row>
    <row r="213" spans="1:8" s="75" customFormat="1" x14ac:dyDescent="0.25">
      <c r="B213" s="76"/>
    </row>
    <row r="214" spans="1:8" s="75" customFormat="1" ht="23.25" x14ac:dyDescent="0.25">
      <c r="A214" s="162" t="s">
        <v>97</v>
      </c>
      <c r="B214" s="162"/>
      <c r="C214" s="162"/>
      <c r="D214" s="162"/>
      <c r="E214" s="162"/>
      <c r="F214" s="162"/>
      <c r="G214" s="162"/>
      <c r="H214" s="162"/>
    </row>
    <row r="215" spans="1:8" s="75" customFormat="1" ht="24" thickBot="1" x14ac:dyDescent="0.3">
      <c r="A215" s="163" t="s">
        <v>98</v>
      </c>
      <c r="B215" s="163"/>
      <c r="C215" s="163"/>
      <c r="D215" s="163"/>
      <c r="E215" s="163"/>
      <c r="F215" s="163"/>
      <c r="G215" s="163"/>
      <c r="H215" s="163"/>
    </row>
    <row r="216" spans="1:8" s="75" customFormat="1" x14ac:dyDescent="0.25">
      <c r="A216" s="76"/>
      <c r="D216" s="76"/>
    </row>
    <row r="217" spans="1:8" s="75" customFormat="1" x14ac:dyDescent="0.25">
      <c r="A217" s="74" t="s">
        <v>183</v>
      </c>
      <c r="D217" s="76"/>
    </row>
    <row r="218" spans="1:8" s="75" customFormat="1" x14ac:dyDescent="0.25">
      <c r="B218" s="76"/>
    </row>
    <row r="219" spans="1:8" s="75" customFormat="1" ht="18" x14ac:dyDescent="0.25">
      <c r="A219" s="76" t="s">
        <v>211</v>
      </c>
      <c r="B219" s="76">
        <f>IF(A15="Yes",5,0)</f>
        <v>0</v>
      </c>
      <c r="C219" s="75" t="s">
        <v>164</v>
      </c>
    </row>
    <row r="220" spans="1:8" s="75" customFormat="1" ht="18" x14ac:dyDescent="0.25">
      <c r="A220" s="76" t="s">
        <v>212</v>
      </c>
      <c r="B220" s="76">
        <f>A38</f>
        <v>84</v>
      </c>
      <c r="C220" s="75" t="s">
        <v>166</v>
      </c>
    </row>
    <row r="221" spans="1:8" s="75" customFormat="1" ht="18" x14ac:dyDescent="0.25">
      <c r="A221" s="76" t="s">
        <v>213</v>
      </c>
      <c r="B221" s="76">
        <v>36</v>
      </c>
      <c r="C221" s="75" t="s">
        <v>168</v>
      </c>
    </row>
    <row r="222" spans="1:8" s="75" customFormat="1" x14ac:dyDescent="0.25">
      <c r="B222" s="76"/>
    </row>
    <row r="223" spans="1:8" s="75" customFormat="1" x14ac:dyDescent="0.25">
      <c r="A223" s="78" t="s">
        <v>60</v>
      </c>
      <c r="B223" s="76"/>
    </row>
    <row r="224" spans="1:8" s="75" customFormat="1" x14ac:dyDescent="0.25">
      <c r="B224" s="76"/>
    </row>
    <row r="225" spans="1:4" s="75" customFormat="1" x14ac:dyDescent="0.25">
      <c r="A225" s="78" t="s">
        <v>61</v>
      </c>
    </row>
    <row r="226" spans="1:4" s="75" customFormat="1" ht="18" x14ac:dyDescent="0.25">
      <c r="A226" s="76" t="s">
        <v>62</v>
      </c>
    </row>
    <row r="227" spans="1:4" s="75" customFormat="1" x14ac:dyDescent="0.25">
      <c r="A227" s="76"/>
    </row>
    <row r="228" spans="1:4" s="75" customFormat="1" ht="18" x14ac:dyDescent="0.25">
      <c r="A228" s="76" t="s">
        <v>62</v>
      </c>
      <c r="B228" s="82">
        <f>(D112/(D48*H8))*(((C74*(A7*12)^2)/8)-(C74-C80)*((((0.5*(A7*12))-(B219*12))^2)/6)-((C74*(A38+B221)^2)/6))</f>
        <v>2.9132836685323791</v>
      </c>
      <c r="C228" s="75" t="s">
        <v>134</v>
      </c>
    </row>
    <row r="229" spans="1:4" s="75" customFormat="1" x14ac:dyDescent="0.25">
      <c r="A229" s="76"/>
    </row>
    <row r="230" spans="1:4" s="75" customFormat="1" x14ac:dyDescent="0.25">
      <c r="A230" s="78" t="s">
        <v>63</v>
      </c>
    </row>
    <row r="231" spans="1:4" s="75" customFormat="1" ht="18" x14ac:dyDescent="0.25">
      <c r="A231" s="76" t="s">
        <v>23</v>
      </c>
    </row>
    <row r="232" spans="1:4" s="75" customFormat="1" x14ac:dyDescent="0.25">
      <c r="A232" s="76"/>
      <c r="B232" s="82"/>
    </row>
    <row r="233" spans="1:4" s="75" customFormat="1" x14ac:dyDescent="0.25">
      <c r="A233" s="76"/>
      <c r="B233" s="82"/>
    </row>
    <row r="234" spans="1:4" s="75" customFormat="1" ht="18" x14ac:dyDescent="0.25">
      <c r="A234" s="76" t="s">
        <v>23</v>
      </c>
      <c r="B234" s="82">
        <f>(5*((H10+A13)/12)*(A7*12)^4)/(384*D48*H8)</f>
        <v>1.6573943338096218</v>
      </c>
      <c r="C234" s="75" t="s">
        <v>134</v>
      </c>
    </row>
    <row r="235" spans="1:4" s="75" customFormat="1" x14ac:dyDescent="0.25">
      <c r="A235" s="76"/>
      <c r="B235" s="82"/>
    </row>
    <row r="236" spans="1:4" s="75" customFormat="1" x14ac:dyDescent="0.25">
      <c r="A236" s="78" t="s">
        <v>64</v>
      </c>
    </row>
    <row r="237" spans="1:4" s="75" customFormat="1" ht="18" x14ac:dyDescent="0.25">
      <c r="A237" s="76" t="s">
        <v>126</v>
      </c>
      <c r="C237" s="82">
        <f>B228-B234</f>
        <v>1.2558893347227573</v>
      </c>
      <c r="D237" s="75" t="s">
        <v>134</v>
      </c>
    </row>
    <row r="238" spans="1:4" s="75" customFormat="1" x14ac:dyDescent="0.25">
      <c r="A238" s="76"/>
      <c r="B238" s="82"/>
    </row>
    <row r="239" spans="1:4" s="75" customFormat="1" x14ac:dyDescent="0.25">
      <c r="A239" s="75" t="s">
        <v>65</v>
      </c>
      <c r="B239" s="76"/>
    </row>
    <row r="240" spans="1:4" s="75" customFormat="1" x14ac:dyDescent="0.25">
      <c r="B240" s="76"/>
    </row>
    <row r="241" spans="1:5" s="75" customFormat="1" x14ac:dyDescent="0.25">
      <c r="A241" s="78" t="s">
        <v>61</v>
      </c>
    </row>
    <row r="242" spans="1:5" s="75" customFormat="1" ht="18" x14ac:dyDescent="0.25">
      <c r="A242" s="76" t="s">
        <v>66</v>
      </c>
    </row>
    <row r="243" spans="1:5" s="75" customFormat="1" x14ac:dyDescent="0.25">
      <c r="A243" s="76"/>
    </row>
    <row r="244" spans="1:5" s="75" customFormat="1" ht="18" x14ac:dyDescent="0.25">
      <c r="A244" s="76" t="s">
        <v>66</v>
      </c>
      <c r="B244" s="82">
        <f>B228-(D112-F207)/(((D48+D49)/2)*H8)*(((C74*(A7*12)^2)/8)-(C74-C80)*((((0.5*(A7*12))-(B219*12))^2)/6)-((C74*(A38+B221)^2)/6))</f>
        <v>2.7720123765771438</v>
      </c>
      <c r="C244" s="75" t="s">
        <v>134</v>
      </c>
    </row>
    <row r="245" spans="1:5" s="75" customFormat="1" x14ac:dyDescent="0.25">
      <c r="A245" s="76"/>
    </row>
    <row r="246" spans="1:5" s="75" customFormat="1" x14ac:dyDescent="0.25">
      <c r="A246" s="78" t="s">
        <v>67</v>
      </c>
    </row>
    <row r="247" spans="1:5" s="75" customFormat="1" ht="18" x14ac:dyDescent="0.25">
      <c r="A247" s="76" t="s">
        <v>127</v>
      </c>
      <c r="B247" s="82">
        <f>B234</f>
        <v>1.6573943338096218</v>
      </c>
      <c r="C247" s="75" t="s">
        <v>134</v>
      </c>
    </row>
    <row r="248" spans="1:5" s="75" customFormat="1" x14ac:dyDescent="0.25">
      <c r="A248" s="76"/>
    </row>
    <row r="249" spans="1:5" s="75" customFormat="1" x14ac:dyDescent="0.25">
      <c r="A249" s="78" t="s">
        <v>68</v>
      </c>
    </row>
    <row r="250" spans="1:5" s="75" customFormat="1" ht="18" x14ac:dyDescent="0.25">
      <c r="A250" s="76" t="s">
        <v>69</v>
      </c>
    </row>
    <row r="251" spans="1:5" s="75" customFormat="1" x14ac:dyDescent="0.25">
      <c r="A251" s="76"/>
      <c r="B251" s="82"/>
    </row>
    <row r="252" spans="1:5" s="75" customFormat="1" ht="18" x14ac:dyDescent="0.25">
      <c r="A252" s="76" t="s">
        <v>69</v>
      </c>
      <c r="B252" s="82">
        <f>D133*((((D112+F207)/2)/(D48*H8))*((((C74*(A7*12)^2)/8)-(C74-C80)*((((0.5*(A7*12))-(B219*12))^2)/6)-((C74*(A38+B221)^2)/6)))-B234)</f>
        <v>0.61032416659585742</v>
      </c>
      <c r="C252" s="75" t="s">
        <v>134</v>
      </c>
    </row>
    <row r="253" spans="1:5" s="75" customFormat="1" x14ac:dyDescent="0.25">
      <c r="A253" s="76"/>
    </row>
    <row r="254" spans="1:5" s="75" customFormat="1" x14ac:dyDescent="0.25">
      <c r="A254" s="78" t="s">
        <v>70</v>
      </c>
    </row>
    <row r="255" spans="1:5" s="75" customFormat="1" ht="18" x14ac:dyDescent="0.25">
      <c r="A255" s="76" t="s">
        <v>128</v>
      </c>
      <c r="D255" s="82">
        <f>B244-B247+B252</f>
        <v>1.7249422093633795</v>
      </c>
      <c r="E255" s="75" t="s">
        <v>134</v>
      </c>
    </row>
    <row r="256" spans="1:5" s="75" customFormat="1" x14ac:dyDescent="0.25">
      <c r="B256" s="76"/>
    </row>
    <row r="257" spans="1:8" s="75" customFormat="1" x14ac:dyDescent="0.25">
      <c r="A257" s="75" t="s">
        <v>71</v>
      </c>
      <c r="B257" s="76"/>
    </row>
    <row r="258" spans="1:8" s="75" customFormat="1" x14ac:dyDescent="0.25">
      <c r="B258" s="76"/>
    </row>
    <row r="259" spans="1:8" s="75" customFormat="1" x14ac:dyDescent="0.25">
      <c r="A259" s="78" t="s">
        <v>72</v>
      </c>
    </row>
    <row r="260" spans="1:8" s="75" customFormat="1" ht="18" x14ac:dyDescent="0.25">
      <c r="A260" s="76" t="s">
        <v>73</v>
      </c>
    </row>
    <row r="261" spans="1:8" s="75" customFormat="1" x14ac:dyDescent="0.25">
      <c r="A261" s="76"/>
      <c r="B261" s="82"/>
    </row>
    <row r="262" spans="1:8" s="75" customFormat="1" ht="18" x14ac:dyDescent="0.25">
      <c r="A262" s="76" t="s">
        <v>73</v>
      </c>
      <c r="B262" s="82">
        <f>B244-((F207-F211)/(D49*H8))*(((C74*(A7*12)^2)/8)-(C74-C80)*((((0.5*(A7*12))-(B219*12))^2)/6)-((C74*(A38+B221)^2)/6))</f>
        <v>2.6649082865712783</v>
      </c>
      <c r="C262" s="75" t="s">
        <v>134</v>
      </c>
    </row>
    <row r="263" spans="1:8" s="75" customFormat="1" x14ac:dyDescent="0.25">
      <c r="A263" s="76"/>
      <c r="B263" s="82"/>
    </row>
    <row r="264" spans="1:8" s="75" customFormat="1" x14ac:dyDescent="0.25">
      <c r="A264" s="78" t="s">
        <v>74</v>
      </c>
    </row>
    <row r="265" spans="1:8" s="75" customFormat="1" ht="18" x14ac:dyDescent="0.25">
      <c r="A265" s="76" t="s">
        <v>129</v>
      </c>
      <c r="B265" s="82">
        <f>B247</f>
        <v>1.6573943338096218</v>
      </c>
      <c r="C265" s="75" t="s">
        <v>134</v>
      </c>
    </row>
    <row r="266" spans="1:8" s="75" customFormat="1" x14ac:dyDescent="0.25">
      <c r="A266" s="76"/>
      <c r="B266" s="82"/>
    </row>
    <row r="267" spans="1:8" s="75" customFormat="1" ht="23.25" x14ac:dyDescent="0.25">
      <c r="A267" s="162" t="s">
        <v>97</v>
      </c>
      <c r="B267" s="162"/>
      <c r="C267" s="162"/>
      <c r="D267" s="162"/>
      <c r="E267" s="162"/>
      <c r="F267" s="162"/>
      <c r="G267" s="162"/>
      <c r="H267" s="162"/>
    </row>
    <row r="268" spans="1:8" s="75" customFormat="1" ht="24" thickBot="1" x14ac:dyDescent="0.3">
      <c r="A268" s="163" t="s">
        <v>98</v>
      </c>
      <c r="B268" s="163"/>
      <c r="C268" s="163"/>
      <c r="D268" s="163"/>
      <c r="E268" s="163"/>
      <c r="F268" s="163"/>
      <c r="G268" s="163"/>
      <c r="H268" s="163"/>
    </row>
    <row r="269" spans="1:8" s="75" customFormat="1" x14ac:dyDescent="0.25">
      <c r="A269" s="76"/>
      <c r="D269" s="76"/>
    </row>
    <row r="270" spans="1:8" s="75" customFormat="1" x14ac:dyDescent="0.25">
      <c r="A270" s="74" t="s">
        <v>185</v>
      </c>
      <c r="D270" s="76"/>
    </row>
    <row r="271" spans="1:8" s="75" customFormat="1" x14ac:dyDescent="0.25">
      <c r="A271" s="76"/>
      <c r="B271" s="82"/>
    </row>
    <row r="272" spans="1:8" s="75" customFormat="1" x14ac:dyDescent="0.25">
      <c r="A272" s="78" t="s">
        <v>75</v>
      </c>
    </row>
    <row r="273" spans="1:5" s="75" customFormat="1" ht="18" x14ac:dyDescent="0.25">
      <c r="A273" s="76" t="s">
        <v>76</v>
      </c>
    </row>
    <row r="274" spans="1:5" s="75" customFormat="1" x14ac:dyDescent="0.25">
      <c r="A274" s="76"/>
      <c r="B274" s="82"/>
    </row>
    <row r="275" spans="1:5" s="75" customFormat="1" ht="18" x14ac:dyDescent="0.25">
      <c r="A275" s="76" t="s">
        <v>76</v>
      </c>
      <c r="B275" s="82">
        <f>B252+D151*(((((F207+F211)/2)/(D48*H8))*(((C74*(A7*12)^2)/8)-(C74-C80)*((((0.5*(A7*12))-(B219*12))^2)/6)-((C74*(A38+B221)^2)/6)))-B234)</f>
        <v>1.1340719217831312</v>
      </c>
      <c r="C275" s="75" t="s">
        <v>134</v>
      </c>
    </row>
    <row r="276" spans="1:5" s="75" customFormat="1" x14ac:dyDescent="0.25">
      <c r="A276" s="76"/>
    </row>
    <row r="277" spans="1:5" s="75" customFormat="1" x14ac:dyDescent="0.25">
      <c r="A277" s="78" t="s">
        <v>77</v>
      </c>
    </row>
    <row r="278" spans="1:5" s="75" customFormat="1" ht="18" x14ac:dyDescent="0.25">
      <c r="A278" s="76" t="s">
        <v>130</v>
      </c>
      <c r="D278" s="82">
        <f>B262-B265+B275</f>
        <v>2.1415858745447878</v>
      </c>
      <c r="E278" s="75" t="s">
        <v>134</v>
      </c>
    </row>
    <row r="279" spans="1:5" s="75" customFormat="1" x14ac:dyDescent="0.25">
      <c r="B279" s="76"/>
    </row>
    <row r="280" spans="1:5" s="75" customFormat="1" x14ac:dyDescent="0.25"/>
    <row r="281" spans="1:5" s="75" customFormat="1" x14ac:dyDescent="0.25">
      <c r="B281" s="76"/>
    </row>
    <row r="282" spans="1:5" s="75" customFormat="1" x14ac:dyDescent="0.25">
      <c r="B282" s="76"/>
    </row>
    <row r="283" spans="1:5" s="75" customFormat="1" x14ac:dyDescent="0.25">
      <c r="B283" s="76"/>
    </row>
    <row r="284" spans="1:5" s="75" customFormat="1" x14ac:dyDescent="0.25"/>
    <row r="285" spans="1:5" s="75" customFormat="1" x14ac:dyDescent="0.25"/>
    <row r="286" spans="1:5" s="75" customFormat="1" x14ac:dyDescent="0.25">
      <c r="B286" s="85"/>
    </row>
    <row r="287" spans="1:5" s="75" customFormat="1" x14ac:dyDescent="0.25"/>
    <row r="288" spans="1:5" s="75" customFormat="1" x14ac:dyDescent="0.25"/>
    <row r="289" spans="1:2" s="75" customFormat="1" x14ac:dyDescent="0.25">
      <c r="B289" s="93"/>
    </row>
    <row r="290" spans="1:2" s="75" customFormat="1" x14ac:dyDescent="0.25">
      <c r="B290" s="76"/>
    </row>
    <row r="291" spans="1:2" s="75" customFormat="1" x14ac:dyDescent="0.25"/>
    <row r="292" spans="1:2" s="75" customFormat="1" x14ac:dyDescent="0.25"/>
    <row r="293" spans="1:2" s="75" customFormat="1" x14ac:dyDescent="0.25"/>
    <row r="294" spans="1:2" x14ac:dyDescent="0.25">
      <c r="B294" s="85"/>
    </row>
    <row r="296" spans="1:2" ht="18.75" x14ac:dyDescent="0.25">
      <c r="A296" s="94"/>
    </row>
    <row r="298" spans="1:2" x14ac:dyDescent="0.25">
      <c r="B298" s="85"/>
    </row>
    <row r="300" spans="1:2" ht="18.75" x14ac:dyDescent="0.25">
      <c r="A300" s="94"/>
    </row>
    <row r="302" spans="1:2" x14ac:dyDescent="0.25">
      <c r="B302" s="95"/>
    </row>
    <row r="304" spans="1:2" ht="18.75" x14ac:dyDescent="0.25">
      <c r="A304" s="94"/>
    </row>
    <row r="306" spans="1:2" x14ac:dyDescent="0.25">
      <c r="B306" s="85"/>
    </row>
    <row r="309" spans="1:2" x14ac:dyDescent="0.25">
      <c r="B309" s="95"/>
    </row>
    <row r="312" spans="1:2" x14ac:dyDescent="0.25">
      <c r="B312" s="95"/>
    </row>
    <row r="314" spans="1:2" ht="18.75" x14ac:dyDescent="0.25">
      <c r="A314" s="94"/>
    </row>
    <row r="316" spans="1:2" x14ac:dyDescent="0.25">
      <c r="B316" s="95"/>
    </row>
  </sheetData>
  <sheetProtection password="C51F" sheet="1" objects="1" scenarios="1"/>
  <mergeCells count="28">
    <mergeCell ref="F6:H6"/>
    <mergeCell ref="F7:G7"/>
    <mergeCell ref="A1:H1"/>
    <mergeCell ref="A2:H2"/>
    <mergeCell ref="F8:G8"/>
    <mergeCell ref="F9:G9"/>
    <mergeCell ref="F10:G10"/>
    <mergeCell ref="A11:A12"/>
    <mergeCell ref="B11:D12"/>
    <mergeCell ref="F11:G11"/>
    <mergeCell ref="B13:D13"/>
    <mergeCell ref="A17:C17"/>
    <mergeCell ref="E17:G17"/>
    <mergeCell ref="A18:C18"/>
    <mergeCell ref="E18:G18"/>
    <mergeCell ref="A92:F92"/>
    <mergeCell ref="A98:F98"/>
    <mergeCell ref="A111:F111"/>
    <mergeCell ref="A55:H55"/>
    <mergeCell ref="A56:H56"/>
    <mergeCell ref="A106:H106"/>
    <mergeCell ref="A107:H107"/>
    <mergeCell ref="A267:H267"/>
    <mergeCell ref="A268:H268"/>
    <mergeCell ref="A160:H160"/>
    <mergeCell ref="A161:H161"/>
    <mergeCell ref="A214:H214"/>
    <mergeCell ref="A215:H215"/>
  </mergeCells>
  <pageMargins left="1" right="0.25" top="0.25" bottom="0.25" header="0.3" footer="0.3"/>
  <pageSetup scale="9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'Girder Section Properties'!$B$17:$C$17</xm:f>
          </x14:formula1>
          <xm:sqref>A15</xm:sqref>
        </x14:dataValidation>
        <x14:dataValidation type="list" allowBlank="1" showInputMessage="1" showErrorMessage="1">
          <x14:formula1>
            <xm:f>'Girder Section Properties'!$B$4:$Q$4</xm:f>
          </x14:formula1>
          <xm:sqref>A6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3:Q22"/>
  <sheetViews>
    <sheetView workbookViewId="0">
      <selection activeCell="E25" sqref="E25"/>
    </sheetView>
  </sheetViews>
  <sheetFormatPr defaultRowHeight="15" x14ac:dyDescent="0.25"/>
  <cols>
    <col min="1" max="1" width="15.7109375" style="6" customWidth="1"/>
    <col min="2" max="16384" width="9.140625" style="6"/>
  </cols>
  <sheetData>
    <row r="3" spans="1:17" x14ac:dyDescent="0.25">
      <c r="B3" s="181" t="s">
        <v>190</v>
      </c>
      <c r="C3" s="181"/>
      <c r="D3" s="181"/>
      <c r="E3" s="181" t="s">
        <v>196</v>
      </c>
      <c r="F3" s="181"/>
      <c r="G3" s="181"/>
      <c r="H3" s="181"/>
      <c r="I3" s="181"/>
      <c r="J3" s="181"/>
      <c r="K3" s="181" t="s">
        <v>204</v>
      </c>
      <c r="L3" s="181"/>
      <c r="M3" s="181" t="s">
        <v>207</v>
      </c>
      <c r="N3" s="181"/>
      <c r="O3" s="181"/>
      <c r="P3" s="181"/>
      <c r="Q3" s="181"/>
    </row>
    <row r="4" spans="1:17" x14ac:dyDescent="0.25">
      <c r="B4" s="98" t="s">
        <v>191</v>
      </c>
      <c r="C4" s="98" t="s">
        <v>194</v>
      </c>
      <c r="D4" s="98" t="s">
        <v>195</v>
      </c>
      <c r="E4" s="98" t="s">
        <v>198</v>
      </c>
      <c r="F4" s="100" t="s">
        <v>200</v>
      </c>
      <c r="G4" s="98" t="s">
        <v>200</v>
      </c>
      <c r="H4" s="98" t="s">
        <v>200</v>
      </c>
      <c r="I4" s="98" t="s">
        <v>202</v>
      </c>
      <c r="J4" s="98" t="s">
        <v>203</v>
      </c>
      <c r="K4" s="100" t="s">
        <v>205</v>
      </c>
      <c r="L4" s="98" t="s">
        <v>206</v>
      </c>
      <c r="M4" s="98" t="s">
        <v>208</v>
      </c>
      <c r="N4" s="98" t="s">
        <v>209</v>
      </c>
      <c r="O4" s="98" t="s">
        <v>210</v>
      </c>
      <c r="P4" s="98" t="s">
        <v>205</v>
      </c>
      <c r="Q4" s="98" t="s">
        <v>206</v>
      </c>
    </row>
    <row r="5" spans="1:17" x14ac:dyDescent="0.25">
      <c r="B5" s="99"/>
      <c r="C5" s="99"/>
      <c r="D5" s="99"/>
      <c r="E5" s="99" t="s">
        <v>197</v>
      </c>
      <c r="F5" s="101" t="s">
        <v>199</v>
      </c>
      <c r="G5" s="99" t="s">
        <v>197</v>
      </c>
      <c r="H5" s="99" t="s">
        <v>201</v>
      </c>
      <c r="I5" s="99" t="s">
        <v>201</v>
      </c>
      <c r="J5" s="99" t="s">
        <v>201</v>
      </c>
      <c r="K5" s="101"/>
      <c r="L5" s="99"/>
      <c r="M5" s="99" t="s">
        <v>8</v>
      </c>
      <c r="N5" s="99" t="s">
        <v>5</v>
      </c>
      <c r="O5" s="99" t="s">
        <v>6</v>
      </c>
      <c r="P5" s="99" t="s">
        <v>9</v>
      </c>
      <c r="Q5" s="99" t="s">
        <v>10</v>
      </c>
    </row>
    <row r="6" spans="1:17" hidden="1" x14ac:dyDescent="0.25">
      <c r="B6" s="106" t="s">
        <v>214</v>
      </c>
      <c r="C6" s="106" t="s">
        <v>7</v>
      </c>
      <c r="D6" s="106" t="s">
        <v>215</v>
      </c>
      <c r="E6" s="106" t="s">
        <v>216</v>
      </c>
      <c r="F6" s="106" t="s">
        <v>217</v>
      </c>
      <c r="G6" s="106" t="s">
        <v>218</v>
      </c>
      <c r="H6" s="106" t="s">
        <v>219</v>
      </c>
      <c r="I6" s="106" t="s">
        <v>220</v>
      </c>
      <c r="J6" s="106" t="s">
        <v>221</v>
      </c>
      <c r="K6" s="106" t="s">
        <v>222</v>
      </c>
      <c r="L6" s="106" t="s">
        <v>223</v>
      </c>
      <c r="M6" s="106" t="s">
        <v>8</v>
      </c>
      <c r="N6" s="106" t="s">
        <v>5</v>
      </c>
      <c r="O6" s="106" t="s">
        <v>6</v>
      </c>
      <c r="P6" s="106" t="s">
        <v>9</v>
      </c>
      <c r="Q6" s="106" t="s">
        <v>10</v>
      </c>
    </row>
    <row r="7" spans="1:17" ht="18" x14ac:dyDescent="0.25">
      <c r="A7" s="97" t="s">
        <v>1</v>
      </c>
      <c r="B7" s="104">
        <v>581.29999999999995</v>
      </c>
      <c r="C7" s="104">
        <v>646.5</v>
      </c>
      <c r="D7" s="104">
        <v>713.2</v>
      </c>
      <c r="E7" s="104">
        <v>483.4</v>
      </c>
      <c r="F7" s="104">
        <v>647.9</v>
      </c>
      <c r="G7" s="104">
        <v>591.4</v>
      </c>
      <c r="H7" s="104">
        <v>522.29999999999995</v>
      </c>
      <c r="I7" s="104">
        <v>630.29999999999995</v>
      </c>
      <c r="J7" s="104">
        <v>702.3</v>
      </c>
      <c r="K7" s="104">
        <v>770.1</v>
      </c>
      <c r="L7" s="104">
        <v>833.1</v>
      </c>
      <c r="M7" s="104">
        <v>369</v>
      </c>
      <c r="N7" s="104">
        <v>559.5</v>
      </c>
      <c r="O7" s="104">
        <v>789</v>
      </c>
      <c r="P7" s="104">
        <v>1013</v>
      </c>
      <c r="Q7" s="104">
        <v>1085</v>
      </c>
    </row>
    <row r="8" spans="1:17" ht="18" x14ac:dyDescent="0.25">
      <c r="A8" s="97" t="s">
        <v>2</v>
      </c>
      <c r="B8" s="105">
        <v>50913</v>
      </c>
      <c r="C8" s="105">
        <v>86912</v>
      </c>
      <c r="D8" s="105">
        <v>134993</v>
      </c>
      <c r="E8" s="105">
        <v>16189</v>
      </c>
      <c r="F8" s="105">
        <v>26982</v>
      </c>
      <c r="G8" s="105">
        <v>26345</v>
      </c>
      <c r="H8" s="105">
        <v>25169</v>
      </c>
      <c r="I8" s="105">
        <v>38699</v>
      </c>
      <c r="J8" s="105">
        <v>50022</v>
      </c>
      <c r="K8" s="105">
        <v>408315</v>
      </c>
      <c r="L8" s="105">
        <v>570260</v>
      </c>
      <c r="M8" s="105">
        <v>50979</v>
      </c>
      <c r="N8" s="105">
        <v>125390</v>
      </c>
      <c r="O8" s="105">
        <v>260741</v>
      </c>
      <c r="P8" s="105">
        <v>521163</v>
      </c>
      <c r="Q8" s="105">
        <v>733320</v>
      </c>
    </row>
    <row r="9" spans="1:17" ht="18" x14ac:dyDescent="0.25">
      <c r="A9" s="97" t="s">
        <v>3</v>
      </c>
      <c r="B9" s="102">
        <v>12.851000000000001</v>
      </c>
      <c r="C9" s="102">
        <v>15.686</v>
      </c>
      <c r="D9" s="102">
        <v>18.492000000000001</v>
      </c>
      <c r="E9" s="102">
        <v>8.7170000000000005</v>
      </c>
      <c r="F9" s="102">
        <v>10.345000000000001</v>
      </c>
      <c r="G9" s="102">
        <v>10.249000000000001</v>
      </c>
      <c r="H9" s="102">
        <v>10.079000000000001</v>
      </c>
      <c r="I9" s="102">
        <v>11.632999999999999</v>
      </c>
      <c r="J9" s="102">
        <v>12.981999999999999</v>
      </c>
      <c r="K9" s="102">
        <v>32.29</v>
      </c>
      <c r="L9" s="102">
        <v>36.79</v>
      </c>
      <c r="M9" s="102">
        <v>15.83</v>
      </c>
      <c r="N9" s="102">
        <v>20.27</v>
      </c>
      <c r="O9" s="102">
        <v>24.73</v>
      </c>
      <c r="P9" s="102">
        <v>31.96</v>
      </c>
      <c r="Q9" s="102">
        <v>36.380000000000003</v>
      </c>
    </row>
    <row r="10" spans="1:17" ht="18" x14ac:dyDescent="0.25">
      <c r="A10" s="97" t="s">
        <v>4</v>
      </c>
      <c r="B10" s="104">
        <v>605.5</v>
      </c>
      <c r="C10" s="104">
        <v>673.5</v>
      </c>
      <c r="D10" s="104">
        <v>742.9</v>
      </c>
      <c r="E10" s="104">
        <v>503.5</v>
      </c>
      <c r="F10" s="104">
        <v>674.9</v>
      </c>
      <c r="G10" s="104">
        <v>616</v>
      </c>
      <c r="H10" s="104">
        <v>544</v>
      </c>
      <c r="I10" s="104">
        <v>656.5</v>
      </c>
      <c r="J10" s="104">
        <v>731.5</v>
      </c>
      <c r="K10" s="104">
        <v>802</v>
      </c>
      <c r="L10" s="104">
        <v>868</v>
      </c>
      <c r="M10" s="104">
        <v>384</v>
      </c>
      <c r="N10" s="104">
        <v>583</v>
      </c>
      <c r="O10" s="104">
        <v>822</v>
      </c>
      <c r="P10" s="104">
        <v>1055</v>
      </c>
      <c r="Q10" s="104">
        <v>1130</v>
      </c>
    </row>
    <row r="11" spans="1:17" x14ac:dyDescent="0.25">
      <c r="A11" s="97" t="s">
        <v>0</v>
      </c>
      <c r="B11" s="102">
        <v>3.5019999999999998</v>
      </c>
      <c r="C11" s="102">
        <v>3.4849999999999999</v>
      </c>
      <c r="D11" s="102">
        <v>3.4710000000000001</v>
      </c>
      <c r="E11" s="102">
        <v>3.4670000000000001</v>
      </c>
      <c r="F11" s="102">
        <v>4.657</v>
      </c>
      <c r="G11" s="102">
        <v>4.0670000000000002</v>
      </c>
      <c r="H11" s="102">
        <v>3.4430000000000001</v>
      </c>
      <c r="I11" s="102">
        <v>3.9969999999999999</v>
      </c>
      <c r="J11" s="102">
        <v>4.3899999999999997</v>
      </c>
      <c r="K11" s="102">
        <v>3.246</v>
      </c>
      <c r="L11" s="102">
        <v>3.2639999999999998</v>
      </c>
      <c r="M11" s="102">
        <v>3.371</v>
      </c>
      <c r="N11" s="102">
        <v>4.056</v>
      </c>
      <c r="O11" s="102">
        <v>4.7409999999999997</v>
      </c>
      <c r="P11" s="102">
        <v>4.4370000000000003</v>
      </c>
      <c r="Q11" s="102">
        <v>4.4059999999999997</v>
      </c>
    </row>
    <row r="14" spans="1:17" hidden="1" x14ac:dyDescent="0.25"/>
    <row r="15" spans="1:17" hidden="1" x14ac:dyDescent="0.25">
      <c r="A15" s="6" t="s">
        <v>192</v>
      </c>
      <c r="B15" s="6">
        <v>0.5</v>
      </c>
      <c r="C15" s="6">
        <v>0.6</v>
      </c>
    </row>
    <row r="16" spans="1:17" hidden="1" x14ac:dyDescent="0.25"/>
    <row r="17" spans="1:3" hidden="1" x14ac:dyDescent="0.25">
      <c r="A17" s="6" t="s">
        <v>193</v>
      </c>
      <c r="B17" s="6" t="s">
        <v>82</v>
      </c>
      <c r="C17" s="6" t="s">
        <v>184</v>
      </c>
    </row>
    <row r="18" spans="1:3" hidden="1" x14ac:dyDescent="0.25"/>
    <row r="19" spans="1:3" hidden="1" x14ac:dyDescent="0.25">
      <c r="A19" s="6" t="s">
        <v>229</v>
      </c>
      <c r="B19" s="6" t="s">
        <v>230</v>
      </c>
      <c r="C19" s="6" t="s">
        <v>231</v>
      </c>
    </row>
    <row r="20" spans="1:3" hidden="1" x14ac:dyDescent="0.25"/>
    <row r="21" spans="1:3" hidden="1" x14ac:dyDescent="0.25">
      <c r="A21" s="6" t="s">
        <v>243</v>
      </c>
      <c r="B21" s="6">
        <v>70</v>
      </c>
      <c r="C21" s="6">
        <v>75</v>
      </c>
    </row>
    <row r="22" spans="1:3" hidden="1" x14ac:dyDescent="0.25"/>
  </sheetData>
  <sheetProtection password="C51F" sheet="1" objects="1" scenarios="1"/>
  <mergeCells count="4">
    <mergeCell ref="B3:D3"/>
    <mergeCell ref="E3:J3"/>
    <mergeCell ref="K3:L3"/>
    <mergeCell ref="M3:Q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Category xmlns="c4fa8f03-2046-4a5a-94b4-aabbe0a5a258">Prestressed Girder Camber</Document_x0020_Category>
    <Document_x0020_Type xmlns="a58a6a5e-c362-4dd6-a29c-06b839caad6d" xsi:nil="true"/>
    <Specs_x0020_Year xmlns="a58a6a5e-c362-4dd6-a29c-06b839caad6d"/>
    <Memo_x0020_Submit_x0020_Date xmlns="a58a6a5e-c362-4dd6-a29c-06b839caad6d" xsi:nil="true"/>
    <_dlc_DocId xmlns="16f00c2e-ac5c-418b-9f13-a0771dbd417d">CONNECT-225-1065</_dlc_DocId>
    <_dlc_DocIdUrl xmlns="16f00c2e-ac5c-418b-9f13-a0771dbd417d">
      <Url>https://connect.ncdot.gov/resources/Structures/_layouts/DocIdRedir.aspx?ID=CONNECT-225-1065</Url>
      <Description>CONNECT-225-1065</Description>
    </_dlc_DocIdUrl>
    <URL xmlns="http://schemas.microsoft.com/sharepoint/v3">
      <Url xsi:nil="true"/>
      <Description xsi:nil="true"/>
    </URL>
    <File_x0020_Category xmlns="16f00c2e-ac5c-418b-9f13-a0771dbd417d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EA082B9095364397BD3BDCC8A0A737" ma:contentTypeVersion="4" ma:contentTypeDescription="Create a new document." ma:contentTypeScope="" ma:versionID="c90eb9541d91c447c95d17eca1017efb">
  <xsd:schema xmlns:xsd="http://www.w3.org/2001/XMLSchema" xmlns:xs="http://www.w3.org/2001/XMLSchema" xmlns:p="http://schemas.microsoft.com/office/2006/metadata/properties" xmlns:ns1="http://schemas.microsoft.com/sharepoint/v3" xmlns:ns2="a58a6a5e-c362-4dd6-a29c-06b839caad6d" xmlns:ns3="c4fa8f03-2046-4a5a-94b4-aabbe0a5a258" xmlns:ns4="16f00c2e-ac5c-418b-9f13-a0771dbd417d" targetNamespace="http://schemas.microsoft.com/office/2006/metadata/properties" ma:root="true" ma:fieldsID="56e97af9e7b417f5033145d8c05eb695" ns1:_="" ns2:_="" ns3:_="" ns4:_="">
    <xsd:import namespace="http://schemas.microsoft.com/sharepoint/v3"/>
    <xsd:import namespace="a58a6a5e-c362-4dd6-a29c-06b839caad6d"/>
    <xsd:import namespace="c4fa8f03-2046-4a5a-94b4-aabbe0a5a258"/>
    <xsd:import namespace="16f00c2e-ac5c-418b-9f13-a0771dbd417d"/>
    <xsd:element name="properties">
      <xsd:complexType>
        <xsd:sequence>
          <xsd:element name="documentManagement">
            <xsd:complexType>
              <xsd:all>
                <xsd:element ref="ns2:Memo_x0020_Submit_x0020_Date" minOccurs="0"/>
                <xsd:element ref="ns3:Document_x0020_Category"/>
                <xsd:element ref="ns2:Document_x0020_Type" minOccurs="0"/>
                <xsd:element ref="ns2:Specs_x0020_Year" minOccurs="0"/>
                <xsd:element ref="ns4:_dlc_DocId" minOccurs="0"/>
                <xsd:element ref="ns4:_dlc_DocIdUrl" minOccurs="0"/>
                <xsd:element ref="ns4:_dlc_DocIdPersistId" minOccurs="0"/>
                <xsd:element ref="ns4:File_x0020_Category" minOccurs="0"/>
                <xsd:element ref="ns1:URL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6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8a6a5e-c362-4dd6-a29c-06b839caad6d" elementFormDefault="qualified">
    <xsd:import namespace="http://schemas.microsoft.com/office/2006/documentManagement/types"/>
    <xsd:import namespace="http://schemas.microsoft.com/office/infopath/2007/PartnerControls"/>
    <xsd:element name="Memo_x0020_Submit_x0020_Date" ma:index="2" nillable="true" ma:displayName="Memo Date" ma:format="DateOnly" ma:internalName="Memo_x0020_Submit_x0020_Date">
      <xsd:simpleType>
        <xsd:restriction base="dms:DateTime"/>
      </xsd:simpleType>
    </xsd:element>
    <xsd:element name="Document_x0020_Type" ma:index="4" nillable="true" ma:displayName="Document Type" ma:format="Dropdown" ma:internalName="Document_x0020_Type">
      <xsd:simpleType>
        <xsd:union memberTypes="dms:Text">
          <xsd:simpleType>
            <xsd:restriction base="dms:Choice">
              <xsd:enumeration value="Drawing English"/>
              <xsd:enumeration value="Drawing Metric"/>
              <xsd:enumeration value="Memo"/>
              <xsd:enumeration value="Notes"/>
              <xsd:enumeration value="Reference for Drawings"/>
              <xsd:enumeration value="Revisions from Transmitted Forms"/>
            </xsd:restriction>
          </xsd:simpleType>
        </xsd:union>
      </xsd:simpleType>
    </xsd:element>
    <xsd:element name="Specs_x0020_Year" ma:index="5" nillable="true" ma:displayName="Specs Year" ma:internalName="Specs_x0020_Yea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2012"/>
                    <xsd:enumeration value="2006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a8f03-2046-4a5a-94b4-aabbe0a5a258" elementFormDefault="qualified">
    <xsd:import namespace="http://schemas.microsoft.com/office/2006/documentManagement/types"/>
    <xsd:import namespace="http://schemas.microsoft.com/office/infopath/2007/PartnerControls"/>
    <xsd:element name="Document_x0020_Category" ma:index="3" ma:displayName="Document Category" ma:format="Dropdown" ma:internalName="Document_x0020_Category">
      <xsd:simpleType>
        <xsd:restriction base="dms:Choice">
          <xsd:enumeration value="Bridges and Culverts Letting"/>
          <xsd:enumeration value="Contractor Submittal"/>
          <xsd:enumeration value="Differential Deflection"/>
          <xsd:enumeration value="FHWA Guidance"/>
          <xsd:enumeration value="Low Impact Bridge Replacement"/>
          <xsd:enumeration value="Other"/>
          <xsd:enumeration value="Prestressed Girder Camber"/>
          <xsd:enumeration value="Subregional Guidelines"/>
          <xsd:enumeration value="Standard Bridge Repairs"/>
          <xsd:enumeration value="Standard Design Plans"/>
          <xsd:enumeration value="Steel Girder Guidelines"/>
          <xsd:enumeration value="TVA Coordina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le_x0020_Category" ma:index="15" nillable="true" ma:displayName="File Category" ma:description="For downloadable files and documents. Used by Content Query Web Part." ma:internalName="File_x0020_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eatured"/>
                    <xsd:enumeration value="Manual"/>
                    <xsd:enumeration value="Application"/>
                    <xsd:enumeration value="Spanish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7ef604a7-ebc4-47af-96e9-7f1ad444f50a" ContentTypeId="0x0101" PreviousValue="false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EED46-AC82-489B-A2C1-8A6F4129BA03}"/>
</file>

<file path=customXml/itemProps2.xml><?xml version="1.0" encoding="utf-8"?>
<ds:datastoreItem xmlns:ds="http://schemas.openxmlformats.org/officeDocument/2006/customXml" ds:itemID="{63C0FF44-078F-4612-88F9-A683B3110DD6}"/>
</file>

<file path=customXml/itemProps3.xml><?xml version="1.0" encoding="utf-8"?>
<ds:datastoreItem xmlns:ds="http://schemas.openxmlformats.org/officeDocument/2006/customXml" ds:itemID="{BE34A745-55ED-4409-AD6D-67889E9A6FED}"/>
</file>

<file path=customXml/itemProps4.xml><?xml version="1.0" encoding="utf-8"?>
<ds:datastoreItem xmlns:ds="http://schemas.openxmlformats.org/officeDocument/2006/customXml" ds:itemID="{5B9ABFED-D749-443A-8042-C236E192160D}"/>
</file>

<file path=customXml/itemProps5.xml><?xml version="1.0" encoding="utf-8"?>
<ds:datastoreItem xmlns:ds="http://schemas.openxmlformats.org/officeDocument/2006/customXml" ds:itemID="{18CD0D36-2DF0-4726-9A01-EBA52576AB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Refined Method</vt:lpstr>
      <vt:lpstr>Calculations</vt:lpstr>
      <vt:lpstr>Girder Section Properties</vt:lpstr>
    </vt:vector>
  </TitlesOfParts>
  <Company>N.C. Dept.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Cole, Adam A</dc:creator>
  <cp:lastModifiedBy>Garrison, Todd M</cp:lastModifiedBy>
  <cp:lastPrinted>2014-11-06T16:31:39Z</cp:lastPrinted>
  <dcterms:created xsi:type="dcterms:W3CDTF">2013-04-25T17:06:03Z</dcterms:created>
  <dcterms:modified xsi:type="dcterms:W3CDTF">2014-11-06T16:57:51Z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0x010100B8EA082B9095364397BD3BDCC8A0A737</vt:lpwstr>
  </property>
  <property fmtid="{D5CDD505-2E9C-101B-9397-08002B2CF9AE}" pid="3" name="_dlc_DocIdItemGuid">
    <vt:lpwstr>1fdf9d9e-b65c-4c81-8876-91a6a52dbe7e</vt:lpwstr>
  </property>
  <property fmtid="{D5CDD505-2E9C-101B-9397-08002B2CF9AE}" pid="4" name="Order">
    <vt:r8>106500</vt:r8>
  </property>
</Properties>
</file>