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U:\Predictive Analysis\Predictive Spreadsheets for Single Sites\"/>
    </mc:Choice>
  </mc:AlternateContent>
  <xr:revisionPtr revIDLastSave="0" documentId="13_ncr:1_{12BB62CC-CAE3-47F2-B582-A2422D9F9B49}" xr6:coauthVersionLast="46" xr6:coauthVersionMax="46" xr10:uidLastSave="{00000000-0000-0000-0000-000000000000}"/>
  <bookViews>
    <workbookView xWindow="-120" yWindow="-120" windowWidth="29040" windowHeight="17640" tabRatio="768" xr2:uid="{00000000-000D-0000-FFFF-FFFF00000000}"/>
  </bookViews>
  <sheets>
    <sheet name="Instructions" sheetId="23" r:id="rId1"/>
    <sheet name="Segment_Divided_1" sheetId="17" r:id="rId2"/>
    <sheet name="Segment_Undivided_1" sheetId="15" r:id="rId3"/>
    <sheet name="Intersection_1" sheetId="18" r:id="rId4"/>
    <sheet name="Summary Tables (Site Totals)" sheetId="20" r:id="rId5"/>
    <sheet name="Summary Tables (Project Total)" sheetId="19" r:id="rId6"/>
    <sheet name="Reference Tables (Segment)" sheetId="24" r:id="rId7"/>
    <sheet name="Reference Tables (Intersection)" sheetId="25" r:id="rId8"/>
    <sheet name="Construction - Do Not Delete" sheetId="10" state="hidden" r:id="rId9"/>
  </sheets>
  <definedNames>
    <definedName name="CRumble">'Construction - Do Not Delete'!$H$17:$H$18</definedName>
    <definedName name="Differ">'Construction - Do Not Delete'!$L$29:$L$30</definedName>
    <definedName name="Division">'Construction - Do Not Delete'!$F$37:$F$38</definedName>
    <definedName name="IApproach">'Construction - Do Not Delete'!$L$37:$L$39</definedName>
    <definedName name="ILight">'Construction - Do Not Delete'!$J$29:$J$30</definedName>
    <definedName name="IType">'Construction - Do Not Delete'!$D$29:$D$31</definedName>
    <definedName name="LApproach">'Construction - Do Not Delete'!$F$29:$F$33</definedName>
    <definedName name="Lighting">'Construction - Do Not Delete'!$H$23:$H$24</definedName>
    <definedName name="Local">'Construction - Do Not Delete'!$L$16:$L$17</definedName>
    <definedName name="LWidth">'Construction - Do Not Delete'!$B$4:$B$10</definedName>
    <definedName name="MWidth">'Construction - Do Not Delete'!$D$37:$D$46</definedName>
    <definedName name="Not_Present">#REF!</definedName>
    <definedName name="PLane">'Construction - Do Not Delete'!$J$17:$J$18</definedName>
    <definedName name="PLane2">'Construction - Do Not Delete'!$J$17:$J$19</definedName>
    <definedName name="RApproach">'Construction - Do Not Delete'!$H$29:$H$33</definedName>
    <definedName name="RHR">'Construction - Do Not Delete'!$F$4:$F$10</definedName>
    <definedName name="RtApproach">'Construction - Do Not Delete'!$N$37:$N$41</definedName>
    <definedName name="Shld2">'Construction - Do Not Delete'!$J$37:$J$47</definedName>
    <definedName name="Shld3">'Construction - Do Not Delete'!$P$37:$P$45</definedName>
    <definedName name="SpEnforce">'Construction - Do Not Delete'!$J$23:$J$24</definedName>
    <definedName name="Spiral">'Construction - Do Not Delete'!$F$17:$F$18</definedName>
    <definedName name="SSlope">'Construction - Do Not Delete'!$H$37:$H$42</definedName>
    <definedName name="SSlope2">'Construction - Do Not Delete'!$H$37:$H$42</definedName>
    <definedName name="SType">'Construction - Do Not Delete'!$D$17:$D$20</definedName>
    <definedName name="SWidth">'Construction - Do Not Delete'!$D$4:$D$12</definedName>
    <definedName name="TWLTL">'Construction - Do Not Delete'!$F$23:$F$24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20" l="1"/>
  <c r="F26" i="19"/>
  <c r="F35" i="19"/>
  <c r="H25" i="19"/>
  <c r="H24" i="19"/>
  <c r="D18" i="19"/>
  <c r="H40" i="20"/>
  <c r="H27" i="20"/>
  <c r="H15" i="20"/>
  <c r="E25" i="20"/>
  <c r="F26" i="20"/>
  <c r="E39" i="20"/>
  <c r="E17" i="20"/>
  <c r="F15" i="20"/>
  <c r="H26" i="20"/>
  <c r="H37" i="19"/>
  <c r="F37" i="19"/>
  <c r="H28" i="20"/>
  <c r="F38" i="20"/>
  <c r="H35" i="20"/>
  <c r="E34" i="19"/>
  <c r="D34" i="19"/>
  <c r="F36" i="19"/>
  <c r="D26" i="19"/>
  <c r="E16" i="19"/>
  <c r="F14" i="20"/>
  <c r="E24" i="20"/>
  <c r="D17" i="20"/>
  <c r="H18" i="20"/>
  <c r="F25" i="20"/>
  <c r="D27" i="19"/>
  <c r="D22" i="19"/>
  <c r="D36" i="19"/>
  <c r="E23" i="19"/>
  <c r="F14" i="19"/>
  <c r="H36" i="20"/>
  <c r="H29" i="20"/>
  <c r="F16" i="20"/>
  <c r="H36" i="19"/>
  <c r="E32" i="19"/>
  <c r="H16" i="20"/>
  <c r="F28" i="20"/>
  <c r="D35" i="19"/>
  <c r="H32" i="19"/>
  <c r="F12" i="19"/>
  <c r="H20" i="20"/>
  <c r="E18" i="20"/>
  <c r="E38" i="20"/>
  <c r="F27" i="19"/>
  <c r="F16" i="19"/>
  <c r="D30" i="20"/>
  <c r="F24" i="20"/>
  <c r="F36" i="20"/>
  <c r="H26" i="19"/>
  <c r="E17" i="19"/>
  <c r="H35" i="19"/>
  <c r="E27" i="19"/>
  <c r="D19" i="20"/>
  <c r="E34" i="20"/>
  <c r="H23" i="20"/>
  <c r="H28" i="19"/>
  <c r="F40" i="20"/>
  <c r="H34" i="19"/>
  <c r="F27" i="20"/>
  <c r="E24" i="19"/>
  <c r="F34" i="19"/>
  <c r="F24" i="19"/>
  <c r="E22" i="19"/>
  <c r="F18" i="19"/>
  <c r="F15" i="19"/>
  <c r="F30" i="20"/>
  <c r="H39" i="20"/>
  <c r="E37" i="20"/>
  <c r="H37" i="20"/>
  <c r="H25" i="20"/>
  <c r="F17" i="19"/>
  <c r="E19" i="20"/>
  <c r="F20" i="20"/>
  <c r="F35" i="20"/>
  <c r="H13" i="19"/>
  <c r="D16" i="19"/>
  <c r="E29" i="20"/>
  <c r="D14" i="20"/>
  <c r="H24" i="20"/>
  <c r="E25" i="19"/>
  <c r="E37" i="19"/>
  <c r="F28" i="19"/>
  <c r="H17" i="19"/>
  <c r="D12" i="19"/>
  <c r="D34" i="20"/>
  <c r="E14" i="20"/>
  <c r="H38" i="20"/>
  <c r="D32" i="19"/>
  <c r="E33" i="19"/>
  <c r="F19" i="20"/>
  <c r="D39" i="20"/>
  <c r="H18" i="19"/>
  <c r="E35" i="20"/>
  <c r="E12" i="19"/>
  <c r="F17" i="20"/>
  <c r="F32" i="19"/>
  <c r="F33" i="19"/>
  <c r="H15" i="19"/>
  <c r="H38" i="19"/>
  <c r="E28" i="19"/>
  <c r="E14" i="19"/>
  <c r="D15" i="20"/>
  <c r="E20" i="20"/>
  <c r="F29" i="20"/>
  <c r="F37" i="20"/>
  <c r="D40" i="20"/>
  <c r="D38" i="20"/>
  <c r="E30" i="20"/>
  <c r="D29" i="20"/>
  <c r="D20" i="20"/>
  <c r="H23" i="19"/>
  <c r="D37" i="19"/>
  <c r="D15" i="19"/>
  <c r="H17" i="20"/>
  <c r="E15" i="20"/>
  <c r="E35" i="19"/>
  <c r="E26" i="19"/>
  <c r="F38" i="19"/>
  <c r="D38" i="19"/>
  <c r="E13" i="19"/>
  <c r="D25" i="20"/>
  <c r="D27" i="20"/>
  <c r="E28" i="20"/>
  <c r="F34" i="20"/>
  <c r="D37" i="20"/>
  <c r="F39" i="20"/>
  <c r="D33" i="19"/>
  <c r="D28" i="19"/>
  <c r="E38" i="19"/>
  <c r="H16" i="19"/>
  <c r="D13" i="19"/>
  <c r="E36" i="20"/>
  <c r="D36" i="20"/>
  <c r="H33" i="19"/>
  <c r="H14" i="19"/>
  <c r="F13" i="19"/>
  <c r="H14" i="20"/>
  <c r="D18" i="20"/>
  <c r="D17" i="19"/>
  <c r="D28" i="20"/>
  <c r="E16" i="20"/>
  <c r="D24" i="19"/>
  <c r="D24" i="20"/>
  <c r="D26" i="20"/>
  <c r="H27" i="19"/>
  <c r="F22" i="19"/>
  <c r="E27" i="20"/>
  <c r="D25" i="19"/>
  <c r="E15" i="19"/>
  <c r="D35" i="20"/>
  <c r="H34" i="20"/>
  <c r="H19" i="20"/>
  <c r="E26" i="20"/>
  <c r="H22" i="19"/>
  <c r="D16" i="20"/>
  <c r="E36" i="19"/>
  <c r="E18" i="19"/>
  <c r="H30" i="20"/>
  <c r="E40" i="20"/>
  <c r="H12" i="19"/>
  <c r="D23" i="19"/>
  <c r="F23" i="19"/>
  <c r="F18" i="20"/>
  <c r="F25" i="19"/>
  <c r="D14" i="19"/>
  <c r="J17" i="19" l="1"/>
  <c r="I17" i="19"/>
  <c r="I24" i="19"/>
  <c r="J24" i="19"/>
  <c r="J16" i="19"/>
  <c r="I16" i="19"/>
  <c r="I28" i="19"/>
  <c r="J28" i="19"/>
  <c r="I32" i="19"/>
  <c r="J32" i="19"/>
  <c r="J18" i="19"/>
  <c r="I18" i="19"/>
  <c r="J25" i="19"/>
  <c r="I25" i="19"/>
  <c r="I38" i="19"/>
  <c r="J38" i="19"/>
  <c r="I14" i="19"/>
  <c r="J14" i="19"/>
  <c r="I22" i="19"/>
  <c r="J22" i="19"/>
  <c r="J34" i="19"/>
  <c r="I34" i="19"/>
  <c r="I15" i="19"/>
  <c r="J15" i="19"/>
  <c r="J13" i="19"/>
  <c r="I13" i="19"/>
  <c r="I27" i="19"/>
  <c r="J27" i="19"/>
  <c r="J37" i="19"/>
  <c r="I37" i="19"/>
  <c r="J23" i="19"/>
  <c r="I23" i="19"/>
  <c r="I36" i="19"/>
  <c r="J36" i="19"/>
  <c r="J12" i="19"/>
  <c r="I12" i="19"/>
  <c r="I26" i="19"/>
  <c r="J26" i="19"/>
  <c r="I33" i="19"/>
  <c r="J33" i="19"/>
  <c r="I35" i="19"/>
  <c r="J35" i="19"/>
  <c r="I40" i="20"/>
  <c r="I28" i="20"/>
  <c r="J28" i="20" s="1"/>
  <c r="I15" i="20"/>
  <c r="J15" i="20" s="1"/>
  <c r="I14" i="20"/>
  <c r="J14" i="20" s="1"/>
  <c r="I16" i="20"/>
  <c r="J16" i="20" s="1"/>
  <c r="I19" i="20"/>
  <c r="J19" i="20" s="1"/>
  <c r="I18" i="20"/>
  <c r="J18" i="20" s="1"/>
  <c r="I20" i="20"/>
  <c r="J20" i="20" s="1"/>
  <c r="I17" i="20"/>
  <c r="J17" i="20" s="1"/>
  <c r="G31" i="20"/>
  <c r="I30" i="20"/>
  <c r="J30" i="20" s="1"/>
  <c r="I29" i="20"/>
  <c r="J29" i="20" s="1"/>
  <c r="I27" i="20"/>
  <c r="J27" i="20" s="1"/>
  <c r="I26" i="20"/>
  <c r="J26" i="20" s="1"/>
  <c r="I25" i="20"/>
  <c r="J25" i="20" s="1"/>
  <c r="I24" i="20"/>
  <c r="J24" i="20" s="1"/>
  <c r="G21" i="20" l="1"/>
  <c r="G41" i="20"/>
  <c r="C25" i="18"/>
  <c r="C24" i="18"/>
  <c r="O9" i="18"/>
  <c r="E11" i="18"/>
  <c r="N11" i="18" s="1"/>
  <c r="E10" i="18"/>
  <c r="N10" i="18" s="1"/>
  <c r="O11" i="15"/>
  <c r="O11" i="17"/>
  <c r="V15" i="17"/>
  <c r="T15" i="17"/>
  <c r="U14" i="17"/>
  <c r="U15" i="17" s="1"/>
  <c r="V13" i="17"/>
  <c r="T13" i="17"/>
  <c r="U12" i="17"/>
  <c r="V11" i="17"/>
  <c r="T11" i="17"/>
  <c r="U10" i="17"/>
  <c r="U11" i="17" s="1"/>
  <c r="J25" i="18"/>
  <c r="J24" i="18"/>
  <c r="H25" i="18"/>
  <c r="H24" i="18"/>
  <c r="F25" i="18"/>
  <c r="F24" i="18"/>
  <c r="U42" i="15"/>
  <c r="U41" i="15"/>
  <c r="U38" i="15"/>
  <c r="U39" i="15" s="1"/>
  <c r="U36" i="15"/>
  <c r="U34" i="15"/>
  <c r="U21" i="15"/>
  <c r="U22" i="15" s="1"/>
  <c r="U19" i="15"/>
  <c r="U18" i="15"/>
  <c r="V6" i="15"/>
  <c r="V4" i="15"/>
  <c r="T35" i="15"/>
  <c r="V35" i="15"/>
  <c r="T37" i="15"/>
  <c r="V37" i="15"/>
  <c r="T39" i="15"/>
  <c r="V39" i="15"/>
  <c r="T41" i="15"/>
  <c r="V41" i="15"/>
  <c r="U17" i="15"/>
  <c r="T18" i="15"/>
  <c r="V18" i="15"/>
  <c r="T20" i="15"/>
  <c r="V20" i="15"/>
  <c r="T22" i="15"/>
  <c r="V22" i="15"/>
  <c r="F28" i="15"/>
  <c r="C28" i="17"/>
  <c r="K49" i="18"/>
  <c r="I49" i="18"/>
  <c r="F49" i="18"/>
  <c r="C49" i="18"/>
  <c r="U10" i="24"/>
  <c r="W10" i="24"/>
  <c r="Y10" i="24"/>
  <c r="U11" i="24"/>
  <c r="W11" i="24"/>
  <c r="Y11" i="24"/>
  <c r="U12" i="24"/>
  <c r="W12" i="24"/>
  <c r="Y12" i="24"/>
  <c r="U13" i="24"/>
  <c r="W13" i="24"/>
  <c r="Y13" i="24"/>
  <c r="AE11" i="24"/>
  <c r="AE13" i="24"/>
  <c r="AE15" i="24"/>
  <c r="AE17" i="24"/>
  <c r="J40" i="20"/>
  <c r="I39" i="20"/>
  <c r="J39" i="20" s="1"/>
  <c r="I38" i="20"/>
  <c r="J38" i="20" s="1"/>
  <c r="I37" i="20"/>
  <c r="J37" i="20" s="1"/>
  <c r="I36" i="20"/>
  <c r="J36" i="20" s="1"/>
  <c r="I35" i="20"/>
  <c r="J35" i="20" s="1"/>
  <c r="K51" i="18"/>
  <c r="K56" i="18"/>
  <c r="K55" i="18"/>
  <c r="K54" i="18"/>
  <c r="K53" i="18"/>
  <c r="K52" i="18"/>
  <c r="I56" i="18"/>
  <c r="I55" i="18"/>
  <c r="I54" i="18"/>
  <c r="I53" i="18"/>
  <c r="I52" i="18"/>
  <c r="I51" i="18"/>
  <c r="F56" i="18"/>
  <c r="F55" i="18"/>
  <c r="F54" i="18"/>
  <c r="F53" i="18"/>
  <c r="F52" i="18"/>
  <c r="F51" i="18"/>
  <c r="C56" i="18"/>
  <c r="C55" i="18"/>
  <c r="C54" i="18"/>
  <c r="C53" i="18"/>
  <c r="C52" i="18"/>
  <c r="C51" i="18"/>
  <c r="K36" i="18"/>
  <c r="K35" i="18"/>
  <c r="K34" i="18"/>
  <c r="H36" i="18"/>
  <c r="H35" i="18"/>
  <c r="H34" i="18"/>
  <c r="E36" i="18"/>
  <c r="E35" i="18"/>
  <c r="E34" i="18"/>
  <c r="D36" i="18"/>
  <c r="D35" i="18"/>
  <c r="D34" i="18"/>
  <c r="C36" i="18"/>
  <c r="C35" i="18"/>
  <c r="C34" i="18"/>
  <c r="A28" i="17"/>
  <c r="A28" i="15"/>
  <c r="J28" i="17"/>
  <c r="F28" i="17"/>
  <c r="I71" i="17"/>
  <c r="I70" i="17"/>
  <c r="I69" i="17"/>
  <c r="I68" i="17"/>
  <c r="L60" i="17"/>
  <c r="I60" i="17"/>
  <c r="F60" i="17"/>
  <c r="C60" i="17"/>
  <c r="L59" i="17"/>
  <c r="I59" i="17"/>
  <c r="F59" i="17"/>
  <c r="C59" i="17"/>
  <c r="L58" i="17"/>
  <c r="I58" i="17"/>
  <c r="F58" i="17"/>
  <c r="C58" i="17"/>
  <c r="L57" i="17"/>
  <c r="I57" i="17"/>
  <c r="F57" i="17"/>
  <c r="C57" i="17"/>
  <c r="L56" i="17"/>
  <c r="I56" i="17"/>
  <c r="F56" i="17"/>
  <c r="C56" i="17"/>
  <c r="L55" i="17"/>
  <c r="I55" i="17"/>
  <c r="F55" i="17"/>
  <c r="C55" i="17"/>
  <c r="L53" i="17"/>
  <c r="I53" i="17"/>
  <c r="F53" i="17"/>
  <c r="C53" i="17"/>
  <c r="L39" i="17"/>
  <c r="H39" i="17"/>
  <c r="F39" i="17"/>
  <c r="L38" i="17"/>
  <c r="H38" i="17"/>
  <c r="F38" i="17"/>
  <c r="L37" i="17"/>
  <c r="H37" i="17"/>
  <c r="F37" i="17"/>
  <c r="H28" i="17"/>
  <c r="I71" i="15"/>
  <c r="I70" i="15"/>
  <c r="I69" i="15"/>
  <c r="I68" i="15"/>
  <c r="L60" i="15"/>
  <c r="L59" i="15"/>
  <c r="L58" i="15"/>
  <c r="L57" i="15"/>
  <c r="L56" i="15"/>
  <c r="L55" i="15"/>
  <c r="I60" i="15"/>
  <c r="I59" i="15"/>
  <c r="I58" i="15"/>
  <c r="I57" i="15"/>
  <c r="I56" i="15"/>
  <c r="I55" i="15"/>
  <c r="F60" i="15"/>
  <c r="F59" i="15"/>
  <c r="F58" i="15"/>
  <c r="F57" i="15"/>
  <c r="F56" i="15"/>
  <c r="F55" i="15"/>
  <c r="C60" i="15"/>
  <c r="C59" i="15"/>
  <c r="C58" i="15"/>
  <c r="C57" i="15"/>
  <c r="C56" i="15"/>
  <c r="C55" i="15"/>
  <c r="L53" i="15"/>
  <c r="I53" i="15"/>
  <c r="F53" i="15"/>
  <c r="C53" i="15"/>
  <c r="L39" i="15"/>
  <c r="L38" i="15"/>
  <c r="L37" i="15"/>
  <c r="H39" i="15"/>
  <c r="H38" i="15"/>
  <c r="H37" i="15"/>
  <c r="F39" i="15"/>
  <c r="F38" i="15"/>
  <c r="F37" i="15"/>
  <c r="J28" i="15"/>
  <c r="H28" i="15"/>
  <c r="U20" i="15"/>
  <c r="H31" i="19"/>
  <c r="H33" i="20"/>
  <c r="H13" i="20"/>
  <c r="H11" i="19"/>
  <c r="H21" i="19"/>
  <c r="U13" i="17" l="1"/>
  <c r="U35" i="15"/>
  <c r="L25" i="18"/>
  <c r="J36" i="18" s="1"/>
  <c r="F34" i="18"/>
  <c r="F36" i="18"/>
  <c r="L24" i="18"/>
  <c r="J34" i="18" s="1"/>
  <c r="F35" i="18"/>
  <c r="C28" i="15"/>
  <c r="M28" i="15" s="1"/>
  <c r="J39" i="15" s="1"/>
  <c r="M39" i="15" s="1"/>
  <c r="U37" i="15"/>
  <c r="M28" i="17"/>
  <c r="J39" i="17" s="1"/>
  <c r="M39" i="17" s="1"/>
  <c r="J35" i="18"/>
  <c r="L34" i="18" l="1"/>
  <c r="G65" i="18" s="1"/>
  <c r="L35" i="18"/>
  <c r="G66" i="18" s="1"/>
  <c r="L36" i="18"/>
  <c r="G67" i="18" s="1"/>
  <c r="J37" i="15"/>
  <c r="M37" i="15" s="1"/>
  <c r="J38" i="15"/>
  <c r="M38" i="15" s="1"/>
  <c r="D69" i="15" s="1"/>
  <c r="J38" i="17"/>
  <c r="M38" i="17" s="1"/>
  <c r="D69" i="17" s="1"/>
  <c r="J37" i="17"/>
  <c r="M37" i="17" s="1"/>
  <c r="D68" i="17" s="1"/>
  <c r="D70" i="15"/>
  <c r="L70" i="15" s="1"/>
  <c r="J53" i="15"/>
  <c r="D70" i="17"/>
  <c r="L70" i="17" s="1"/>
  <c r="J53" i="17"/>
  <c r="D53" i="17"/>
  <c r="D33" i="20"/>
  <c r="E33" i="20"/>
  <c r="D13" i="20"/>
  <c r="E31" i="19"/>
  <c r="E11" i="19"/>
  <c r="E13" i="20"/>
  <c r="D31" i="19"/>
  <c r="D11" i="19"/>
  <c r="E23" i="20"/>
  <c r="E21" i="19"/>
  <c r="D19" i="19" l="1"/>
  <c r="E42" i="20"/>
  <c r="E53" i="20" s="1"/>
  <c r="E19" i="19"/>
  <c r="E40" i="19"/>
  <c r="E39" i="19"/>
  <c r="E29" i="19"/>
  <c r="E31" i="20"/>
  <c r="D39" i="19"/>
  <c r="D49" i="18"/>
  <c r="D51" i="18" s="1"/>
  <c r="J49" i="18"/>
  <c r="J55" i="18" s="1"/>
  <c r="L38" i="18"/>
  <c r="G68" i="18" s="1"/>
  <c r="G49" i="18"/>
  <c r="G54" i="18" s="1"/>
  <c r="M41" i="15"/>
  <c r="D71" i="15" s="1"/>
  <c r="D53" i="15"/>
  <c r="D59" i="15" s="1"/>
  <c r="G53" i="15"/>
  <c r="G56" i="15" s="1"/>
  <c r="D68" i="15"/>
  <c r="M41" i="17"/>
  <c r="M53" i="17" s="1"/>
  <c r="G53" i="17"/>
  <c r="G56" i="17" s="1"/>
  <c r="L68" i="17"/>
  <c r="J58" i="15"/>
  <c r="J60" i="15"/>
  <c r="J55" i="15"/>
  <c r="J57" i="15"/>
  <c r="J59" i="15"/>
  <c r="J56" i="15"/>
  <c r="G53" i="18"/>
  <c r="G52" i="18"/>
  <c r="I34" i="20"/>
  <c r="J34" i="20" s="1"/>
  <c r="E41" i="20"/>
  <c r="D59" i="17"/>
  <c r="D56" i="17"/>
  <c r="D58" i="17"/>
  <c r="D55" i="17"/>
  <c r="D57" i="17"/>
  <c r="D60" i="17"/>
  <c r="J58" i="17"/>
  <c r="J60" i="17"/>
  <c r="J55" i="17"/>
  <c r="J57" i="17"/>
  <c r="J56" i="17"/>
  <c r="J59" i="17"/>
  <c r="L69" i="15"/>
  <c r="D56" i="18"/>
  <c r="L69" i="17"/>
  <c r="D21" i="19"/>
  <c r="F23" i="20"/>
  <c r="F21" i="19"/>
  <c r="D23" i="20"/>
  <c r="F31" i="19"/>
  <c r="F33" i="20"/>
  <c r="G55" i="18" l="1"/>
  <c r="D52" i="18"/>
  <c r="G56" i="18"/>
  <c r="F29" i="19"/>
  <c r="F31" i="20"/>
  <c r="I23" i="20"/>
  <c r="J23" i="20" s="1"/>
  <c r="J31" i="20" s="1"/>
  <c r="D31" i="20"/>
  <c r="D42" i="20"/>
  <c r="E51" i="20" s="1"/>
  <c r="D29" i="19"/>
  <c r="I21" i="19"/>
  <c r="J21" i="19"/>
  <c r="D40" i="19"/>
  <c r="E51" i="19" s="1"/>
  <c r="F39" i="19"/>
  <c r="D71" i="17"/>
  <c r="L71" i="17" s="1"/>
  <c r="D53" i="18"/>
  <c r="D54" i="18"/>
  <c r="D55" i="18"/>
  <c r="J52" i="18"/>
  <c r="J56" i="18"/>
  <c r="L49" i="18"/>
  <c r="L55" i="18" s="1"/>
  <c r="J51" i="18"/>
  <c r="J54" i="18"/>
  <c r="J53" i="18"/>
  <c r="G51" i="18"/>
  <c r="L68" i="15"/>
  <c r="G59" i="15"/>
  <c r="G55" i="15"/>
  <c r="D57" i="15"/>
  <c r="G57" i="15"/>
  <c r="D56" i="15"/>
  <c r="D55" i="15"/>
  <c r="M53" i="15"/>
  <c r="M60" i="15" s="1"/>
  <c r="D60" i="15"/>
  <c r="D58" i="15"/>
  <c r="G60" i="15"/>
  <c r="G58" i="15"/>
  <c r="G55" i="17"/>
  <c r="G57" i="17"/>
  <c r="G59" i="17"/>
  <c r="G60" i="17"/>
  <c r="G58" i="17"/>
  <c r="E21" i="20"/>
  <c r="M58" i="17"/>
  <c r="M57" i="17"/>
  <c r="M55" i="17"/>
  <c r="M56" i="17"/>
  <c r="M59" i="17"/>
  <c r="M60" i="17"/>
  <c r="I31" i="19"/>
  <c r="J31" i="19"/>
  <c r="D41" i="20"/>
  <c r="I33" i="20"/>
  <c r="J33" i="20" s="1"/>
  <c r="J41" i="20" s="1"/>
  <c r="I11" i="19"/>
  <c r="J11" i="19"/>
  <c r="E53" i="19"/>
  <c r="L71" i="15"/>
  <c r="D21" i="20"/>
  <c r="I13" i="20"/>
  <c r="J13" i="20" s="1"/>
  <c r="F11" i="19"/>
  <c r="F13" i="20"/>
  <c r="F42" i="20" l="1"/>
  <c r="E55" i="20" s="1"/>
  <c r="F40" i="19"/>
  <c r="E55" i="19" s="1"/>
  <c r="F19" i="19"/>
  <c r="J40" i="19"/>
  <c r="M40" i="19" s="1"/>
  <c r="N40" i="19" s="1"/>
  <c r="I40" i="19"/>
  <c r="K40" i="19" s="1"/>
  <c r="L40" i="19" s="1"/>
  <c r="J42" i="20"/>
  <c r="L53" i="18"/>
  <c r="L52" i="18"/>
  <c r="L51" i="18"/>
  <c r="L54" i="18"/>
  <c r="L56" i="18"/>
  <c r="M56" i="15"/>
  <c r="M57" i="15"/>
  <c r="M55" i="15"/>
  <c r="M58" i="15"/>
  <c r="M59" i="15"/>
  <c r="F41" i="20"/>
  <c r="F21" i="20"/>
  <c r="J21" i="20"/>
  <c r="H55" i="20" l="1"/>
  <c r="O40" i="19"/>
  <c r="H53" i="19" s="1"/>
  <c r="H51" i="20"/>
  <c r="H53" i="20"/>
  <c r="H51" i="19" l="1"/>
  <c r="H55" i="19"/>
</calcChain>
</file>

<file path=xl/sharedStrings.xml><?xml version="1.0" encoding="utf-8"?>
<sst xmlns="http://schemas.openxmlformats.org/spreadsheetml/2006/main" count="1066" uniqueCount="435">
  <si>
    <t>General Information</t>
  </si>
  <si>
    <t>Analyst</t>
  </si>
  <si>
    <t>Agency or Company</t>
  </si>
  <si>
    <t>Date Performed</t>
  </si>
  <si>
    <t>Input Data</t>
  </si>
  <si>
    <t>Length of segment, L (mi)</t>
  </si>
  <si>
    <t>AADT (veh/day)</t>
  </si>
  <si>
    <t>Lane width (ft)</t>
  </si>
  <si>
    <t>Shoulder width (ft)</t>
  </si>
  <si>
    <t>Auto speed enforcement (present/not present)</t>
  </si>
  <si>
    <t>Calibration Factor, Cr</t>
  </si>
  <si>
    <t>Location Information</t>
  </si>
  <si>
    <t>Roadway</t>
  </si>
  <si>
    <t>Roadway Section</t>
  </si>
  <si>
    <t>Jurisdiction</t>
  </si>
  <si>
    <t>Analysis Year</t>
  </si>
  <si>
    <t>Base Conditions</t>
  </si>
  <si>
    <t>--</t>
  </si>
  <si>
    <t>Site Conditions</t>
  </si>
  <si>
    <t>(1)</t>
  </si>
  <si>
    <t>(2)</t>
  </si>
  <si>
    <t>(3)</t>
  </si>
  <si>
    <t>(4)</t>
  </si>
  <si>
    <t>(5)</t>
  </si>
  <si>
    <t>(6)</t>
  </si>
  <si>
    <t>(7)</t>
  </si>
  <si>
    <t>(8)</t>
  </si>
  <si>
    <t>(9)</t>
  </si>
  <si>
    <t>(10)</t>
  </si>
  <si>
    <t>(11)</t>
  </si>
  <si>
    <t>(12)</t>
  </si>
  <si>
    <t>(13)</t>
  </si>
  <si>
    <t>CMF for Lane Width</t>
  </si>
  <si>
    <t>CMF for Lighting</t>
  </si>
  <si>
    <t>CMF for Automated Speed Enforcement</t>
  </si>
  <si>
    <t>CMF comb</t>
  </si>
  <si>
    <t>Crash Severity Level</t>
  </si>
  <si>
    <t>Overdispersion Parameter, k</t>
  </si>
  <si>
    <t>Combined CMFs</t>
  </si>
  <si>
    <t>Total</t>
  </si>
  <si>
    <t>Fatal and Injury (FI)</t>
  </si>
  <si>
    <t>Property Damage Only (PDO)</t>
  </si>
  <si>
    <t>Collision Type</t>
  </si>
  <si>
    <r>
      <t>Proportion of Collision Type</t>
    </r>
    <r>
      <rPr>
        <b/>
        <sz val="6"/>
        <rFont val="Arial"/>
        <family val="2"/>
      </rPr>
      <t>(FI)</t>
    </r>
  </si>
  <si>
    <r>
      <t>Proportion of Collision Type</t>
    </r>
    <r>
      <rPr>
        <b/>
        <sz val="6"/>
        <rFont val="Arial"/>
        <family val="2"/>
      </rPr>
      <t>(TOTAL)</t>
    </r>
  </si>
  <si>
    <t>Angle collision</t>
  </si>
  <si>
    <t>Head-on collision</t>
  </si>
  <si>
    <t>Rear-end collision</t>
  </si>
  <si>
    <t>Sideswipe collision</t>
  </si>
  <si>
    <t>Crash severity level</t>
  </si>
  <si>
    <t>Predicted average crash frequency (crashes/year)</t>
  </si>
  <si>
    <t>Roadway segment length (mi)</t>
  </si>
  <si>
    <t>Crash rate (crashes/mi/year)</t>
  </si>
  <si>
    <t>Lane Width (ft)</t>
  </si>
  <si>
    <t>Shoulder Width (ft)</t>
  </si>
  <si>
    <t>Shoulder Type</t>
  </si>
  <si>
    <t>Lane Width</t>
  </si>
  <si>
    <t>TWLTL</t>
  </si>
  <si>
    <t>Lighting</t>
  </si>
  <si>
    <t>&lt; 400</t>
  </si>
  <si>
    <t>400 to 2000</t>
  </si>
  <si>
    <t>&gt; 2000</t>
  </si>
  <si>
    <t>HSM-Provided Values</t>
  </si>
  <si>
    <t>Locally-Derived Values</t>
  </si>
  <si>
    <t>Collision type</t>
  </si>
  <si>
    <t>Shoulder Width</t>
  </si>
  <si>
    <t>RHR</t>
  </si>
  <si>
    <t>Paved</t>
  </si>
  <si>
    <t>Gravel</t>
  </si>
  <si>
    <t>Composite</t>
  </si>
  <si>
    <t>Turf</t>
  </si>
  <si>
    <t>Spiral</t>
  </si>
  <si>
    <t>Not Present</t>
  </si>
  <si>
    <t>Present</t>
  </si>
  <si>
    <t>Centerline</t>
  </si>
  <si>
    <t>Rumble Strips</t>
  </si>
  <si>
    <t>Passing</t>
  </si>
  <si>
    <t>Lane</t>
  </si>
  <si>
    <t>SpEnforce</t>
  </si>
  <si>
    <t>Four-leg signalized intersections</t>
  </si>
  <si>
    <t>Fatal and injury</t>
  </si>
  <si>
    <t>Note: The collision types related to shoulder width to which this CMF applies include single-vehicle run-off-the-road and multiple-vehicle head-on, opposite-direction sideswipe, and same-direction sideswipe crashes.</t>
  </si>
  <si>
    <t>Present (1 lane)</t>
  </si>
  <si>
    <t>Present (2 lanes)</t>
  </si>
  <si>
    <t>Proportion of crashes that occur at night</t>
  </si>
  <si>
    <t>Roadway Type</t>
  </si>
  <si>
    <t>Note: The values for composite shoulders in this exhibit represent a shoulder for which 50 percent of the shoulder width is paved and 50 percent of the shoulder width is turf.</t>
  </si>
  <si>
    <t>Local</t>
  </si>
  <si>
    <t>Yes</t>
  </si>
  <si>
    <t>No</t>
  </si>
  <si>
    <t>Locally-Derived Values?</t>
  </si>
  <si>
    <t>Intersection</t>
  </si>
  <si>
    <t>Intersection type (3ST, 4ST, 4SG)</t>
  </si>
  <si>
    <r>
      <t>AADT</t>
    </r>
    <r>
      <rPr>
        <vertAlign val="subscript"/>
        <sz val="10"/>
        <rFont val="Arial"/>
        <family val="2"/>
      </rPr>
      <t>major</t>
    </r>
    <r>
      <rPr>
        <sz val="10"/>
        <rFont val="Arial"/>
        <family val="2"/>
      </rPr>
      <t xml:space="preserve"> (veh/day)</t>
    </r>
  </si>
  <si>
    <r>
      <t>AADT</t>
    </r>
    <r>
      <rPr>
        <vertAlign val="subscript"/>
        <sz val="10"/>
        <rFont val="Arial"/>
        <family val="2"/>
      </rPr>
      <t>minor</t>
    </r>
    <r>
      <rPr>
        <sz val="10"/>
        <rFont val="Arial"/>
        <family val="2"/>
      </rPr>
      <t xml:space="preserve"> (veh/day)</t>
    </r>
  </si>
  <si>
    <t>Intersection skew angle (degrees)</t>
  </si>
  <si>
    <t>Intersection lighting (present/not present)</t>
  </si>
  <si>
    <r>
      <t>Calibration Factor, C</t>
    </r>
    <r>
      <rPr>
        <vertAlign val="subscript"/>
        <sz val="10"/>
        <rFont val="Arial"/>
        <family val="2"/>
      </rPr>
      <t>i</t>
    </r>
  </si>
  <si>
    <t>Itype</t>
  </si>
  <si>
    <t>3ST</t>
  </si>
  <si>
    <t>4ST</t>
  </si>
  <si>
    <t>4SG</t>
  </si>
  <si>
    <t>Lapproach</t>
  </si>
  <si>
    <t>Rapproach</t>
  </si>
  <si>
    <t>Ilight</t>
  </si>
  <si>
    <t>CMF for Left-Turn Lanes</t>
  </si>
  <si>
    <t>CMF for Right-Turn Lanes</t>
  </si>
  <si>
    <t>Combined CMF</t>
  </si>
  <si>
    <t>Differ</t>
  </si>
  <si>
    <r>
      <t xml:space="preserve">N </t>
    </r>
    <r>
      <rPr>
        <b/>
        <i/>
        <sz val="6"/>
        <rFont val="Arial"/>
        <family val="2"/>
      </rPr>
      <t>predicted int</t>
    </r>
    <r>
      <rPr>
        <b/>
        <sz val="6"/>
        <rFont val="Arial"/>
        <family val="2"/>
      </rPr>
      <t xml:space="preserve"> (TOTAL)</t>
    </r>
    <r>
      <rPr>
        <b/>
        <sz val="10"/>
        <rFont val="Arial"/>
        <family val="2"/>
      </rPr>
      <t xml:space="preserve"> (crashes/year)</t>
    </r>
  </si>
  <si>
    <r>
      <t xml:space="preserve">N </t>
    </r>
    <r>
      <rPr>
        <b/>
        <i/>
        <sz val="6"/>
        <rFont val="Arial"/>
        <family val="2"/>
      </rPr>
      <t>predicted int</t>
    </r>
    <r>
      <rPr>
        <b/>
        <sz val="6"/>
        <rFont val="Arial"/>
        <family val="2"/>
      </rPr>
      <t xml:space="preserve"> (FI)</t>
    </r>
    <r>
      <rPr>
        <b/>
        <sz val="10"/>
        <rFont val="Arial"/>
        <family val="2"/>
      </rPr>
      <t xml:space="preserve"> (crashes/year)</t>
    </r>
  </si>
  <si>
    <t>Predicted average crash frequency (crashes / year)</t>
  </si>
  <si>
    <t>Worksheet 1A -- General Information and Input Data for Rural Multilane Roadway Segments</t>
  </si>
  <si>
    <t>Lighting (present/not present)</t>
  </si>
  <si>
    <t>Side Slopes - for undivided only</t>
  </si>
  <si>
    <t>1:7 or flatter</t>
  </si>
  <si>
    <t>Median width (ft) - for divided only</t>
  </si>
  <si>
    <t>Shoulder type - right shoulder type for divided</t>
  </si>
  <si>
    <t>Shoulder width (ft) - right shoulder width for divided</t>
  </si>
  <si>
    <t>Roadway type (divided / undivided)</t>
  </si>
  <si>
    <t>Worksheet 1B (a) -- Crash Modification Factors for Rural Multilane Divided Roadway Segments</t>
  </si>
  <si>
    <t>CMF for Right Shoulder Width</t>
  </si>
  <si>
    <t>CMF for Median Width</t>
  </si>
  <si>
    <t>CMF 1rd</t>
  </si>
  <si>
    <t>CMF 2rd</t>
  </si>
  <si>
    <t>CMF 3rd</t>
  </si>
  <si>
    <t>CMF 4rd</t>
  </si>
  <si>
    <t>CMF 5rd</t>
  </si>
  <si>
    <t>from Equation 11-16</t>
  </si>
  <si>
    <t>from Equation 11-17</t>
  </si>
  <si>
    <t>from Section 11.7.2</t>
  </si>
  <si>
    <t>(1)*(2)*(3)*(4)*(5)</t>
  </si>
  <si>
    <t>Worksheet 1B (b) -- Crash Modification Factors for Rural Multilane Undivided Roadway Segments</t>
  </si>
  <si>
    <t>CMF 1ru</t>
  </si>
  <si>
    <t>from Equation 11-13</t>
  </si>
  <si>
    <t>CMF for Shoulder Width</t>
  </si>
  <si>
    <t>CMF 2ru</t>
  </si>
  <si>
    <t>from Equation 11-14</t>
  </si>
  <si>
    <t>CMF for Side Slopes</t>
  </si>
  <si>
    <t>CMF 3ru</t>
  </si>
  <si>
    <t>CMF 4ru</t>
  </si>
  <si>
    <t>from Equation 11-15</t>
  </si>
  <si>
    <t>from Section 11.7.1</t>
  </si>
  <si>
    <t>CMF 5ru</t>
  </si>
  <si>
    <t>Worksheet 1C (a) -- Roadway Segment Crashes for Rural Multilane Divided Roadway Segments</t>
  </si>
  <si>
    <t>SPF Coefficients</t>
  </si>
  <si>
    <t>a</t>
  </si>
  <si>
    <t>b</t>
  </si>
  <si>
    <t>c</t>
  </si>
  <si>
    <t>from Equation 11-9</t>
  </si>
  <si>
    <t>from Equation 11-10</t>
  </si>
  <si>
    <t>(6) from Worksheet   1B (a)</t>
  </si>
  <si>
    <t>(3)*(5)*(6)</t>
  </si>
  <si>
    <r>
      <t>Fatal and Injury</t>
    </r>
    <r>
      <rPr>
        <vertAlign val="superscript"/>
        <sz val="10"/>
        <rFont val="Arial"/>
        <family val="2"/>
      </rPr>
      <t>a</t>
    </r>
    <r>
      <rPr>
        <sz val="10"/>
        <rFont val="Arial"/>
        <family val="2"/>
      </rPr>
      <t xml:space="preserve"> (FI</t>
    </r>
    <r>
      <rPr>
        <vertAlign val="superscript"/>
        <sz val="10"/>
        <rFont val="Arial"/>
        <family val="2"/>
      </rPr>
      <t>a</t>
    </r>
    <r>
      <rPr>
        <sz val="10"/>
        <rFont val="Arial"/>
        <family val="2"/>
      </rPr>
      <t>)</t>
    </r>
  </si>
  <si>
    <r>
      <t>(7)</t>
    </r>
    <r>
      <rPr>
        <vertAlign val="subscript"/>
        <sz val="10"/>
        <rFont val="Arial"/>
        <family val="2"/>
      </rPr>
      <t>TOTAL</t>
    </r>
    <r>
      <rPr>
        <sz val="10"/>
        <rFont val="Arial"/>
        <family val="2"/>
      </rPr>
      <t xml:space="preserve"> - (7)</t>
    </r>
    <r>
      <rPr>
        <vertAlign val="subscript"/>
        <sz val="10"/>
        <rFont val="Arial"/>
        <family val="2"/>
      </rPr>
      <t>FI</t>
    </r>
  </si>
  <si>
    <r>
      <t xml:space="preserve">NOTE: </t>
    </r>
    <r>
      <rPr>
        <vertAlign val="superscript"/>
        <sz val="8"/>
        <rFont val="Arial"/>
        <family val="2"/>
      </rPr>
      <t>a</t>
    </r>
    <r>
      <rPr>
        <sz val="8"/>
        <rFont val="Arial"/>
        <family val="2"/>
      </rPr>
      <t xml:space="preserve"> Using the KABCO scale, these include only KAB crashes. Crashes with severity level C (possible injury) are not included.</t>
    </r>
  </si>
  <si>
    <t>Worksheet 1C (b) -- Roadway Segment Crashes for Rural Multilane Undivided Roadway Segments</t>
  </si>
  <si>
    <t>from Equation 11-7</t>
  </si>
  <si>
    <t>from Equation 11-8</t>
  </si>
  <si>
    <t>(6) from Worksheet   1B (b)</t>
  </si>
  <si>
    <t>Worksheet 1D (a) -- Crashes by Severity Level and Collision Type for Rural Multilane Divided Roadway Segments</t>
  </si>
  <si>
    <r>
      <t>Proportion of Collision Type (FI</t>
    </r>
    <r>
      <rPr>
        <b/>
        <vertAlign val="superscript"/>
        <sz val="10"/>
        <rFont val="Arial"/>
        <family val="2"/>
      </rPr>
      <t>a</t>
    </r>
    <r>
      <rPr>
        <b/>
        <sz val="10"/>
        <rFont val="Arial"/>
        <family val="2"/>
      </rPr>
      <t>)</t>
    </r>
  </si>
  <si>
    <r>
      <t>Proportion of Collision Type (PDO</t>
    </r>
    <r>
      <rPr>
        <b/>
        <sz val="10"/>
        <rFont val="Arial"/>
        <family val="2"/>
      </rPr>
      <t>)</t>
    </r>
  </si>
  <si>
    <r>
      <t xml:space="preserve">N </t>
    </r>
    <r>
      <rPr>
        <b/>
        <i/>
        <sz val="10"/>
        <rFont val="Arial"/>
        <family val="2"/>
      </rPr>
      <t>predicted rs</t>
    </r>
    <r>
      <rPr>
        <b/>
        <sz val="10"/>
        <rFont val="Arial"/>
        <family val="2"/>
      </rPr>
      <t xml:space="preserve"> (FI</t>
    </r>
    <r>
      <rPr>
        <b/>
        <vertAlign val="superscript"/>
        <sz val="10"/>
        <rFont val="Arial"/>
        <family val="2"/>
      </rPr>
      <t>a</t>
    </r>
    <r>
      <rPr>
        <b/>
        <sz val="10"/>
        <rFont val="Arial"/>
        <family val="2"/>
      </rPr>
      <t>) (crashes/year)</t>
    </r>
  </si>
  <si>
    <r>
      <t>(7)</t>
    </r>
    <r>
      <rPr>
        <sz val="6"/>
        <rFont val="Arial"/>
        <family val="2"/>
      </rPr>
      <t>TOTAL</t>
    </r>
    <r>
      <rPr>
        <sz val="10"/>
        <rFont val="Arial"/>
        <family val="2"/>
      </rPr>
      <t xml:space="preserve"> from Worksheet 1C (a)</t>
    </r>
  </si>
  <si>
    <r>
      <t>(7)</t>
    </r>
    <r>
      <rPr>
        <sz val="6"/>
        <rFont val="Arial"/>
        <family val="2"/>
      </rPr>
      <t>FI</t>
    </r>
    <r>
      <rPr>
        <sz val="10"/>
        <rFont val="Arial"/>
        <family val="2"/>
      </rPr>
      <t xml:space="preserve"> from Worksheet 1C (a)</t>
    </r>
  </si>
  <si>
    <r>
      <t xml:space="preserve">(7) </t>
    </r>
    <r>
      <rPr>
        <vertAlign val="subscript"/>
        <sz val="10"/>
        <rFont val="Arial"/>
        <family val="2"/>
      </rPr>
      <t>FI</t>
    </r>
    <r>
      <rPr>
        <vertAlign val="superscript"/>
        <sz val="10"/>
        <rFont val="Arial"/>
        <family val="2"/>
      </rPr>
      <t>a</t>
    </r>
    <r>
      <rPr>
        <sz val="10"/>
        <rFont val="Arial"/>
        <family val="2"/>
      </rPr>
      <t xml:space="preserve"> from Worksheet 1C (a)</t>
    </r>
  </si>
  <si>
    <r>
      <t>(7)</t>
    </r>
    <r>
      <rPr>
        <sz val="6"/>
        <rFont val="Arial"/>
        <family val="2"/>
      </rPr>
      <t>PDO</t>
    </r>
    <r>
      <rPr>
        <sz val="10"/>
        <rFont val="Arial"/>
        <family val="2"/>
      </rPr>
      <t xml:space="preserve"> from Worksheet 1C (a)</t>
    </r>
  </si>
  <si>
    <r>
      <t>(2)*(3)</t>
    </r>
    <r>
      <rPr>
        <vertAlign val="subscript"/>
        <sz val="10"/>
        <rFont val="Arial"/>
        <family val="2"/>
      </rPr>
      <t>TOTAL</t>
    </r>
  </si>
  <si>
    <r>
      <t>(4)x(5)</t>
    </r>
    <r>
      <rPr>
        <vertAlign val="subscript"/>
        <sz val="10"/>
        <rFont val="Arial"/>
        <family val="2"/>
      </rPr>
      <t>FI</t>
    </r>
  </si>
  <si>
    <r>
      <t>(6)*(7)</t>
    </r>
    <r>
      <rPr>
        <vertAlign val="subscript"/>
        <sz val="10"/>
        <rFont val="Arial"/>
        <family val="2"/>
      </rPr>
      <t xml:space="preserve"> FI</t>
    </r>
    <r>
      <rPr>
        <sz val="10"/>
        <rFont val="Arial"/>
        <family val="2"/>
      </rPr>
      <t xml:space="preserve"> </t>
    </r>
    <r>
      <rPr>
        <vertAlign val="superscript"/>
        <sz val="10"/>
        <rFont val="Arial"/>
        <family val="2"/>
      </rPr>
      <t>a</t>
    </r>
  </si>
  <si>
    <r>
      <t xml:space="preserve">(8)*(9) </t>
    </r>
    <r>
      <rPr>
        <vertAlign val="subscript"/>
        <sz val="10"/>
        <rFont val="Arial"/>
        <family val="2"/>
      </rPr>
      <t>PDO</t>
    </r>
  </si>
  <si>
    <t>Single-vehicle collision</t>
  </si>
  <si>
    <t>Other collision</t>
  </si>
  <si>
    <t>Worksheet 1D (b) -- Crashes by Severity Level and Collision Type for Rural Multilane Undivided Roadway Segments</t>
  </si>
  <si>
    <r>
      <t>(7)</t>
    </r>
    <r>
      <rPr>
        <sz val="6"/>
        <rFont val="Arial"/>
        <family val="2"/>
      </rPr>
      <t>TOTAL</t>
    </r>
    <r>
      <rPr>
        <sz val="10"/>
        <rFont val="Arial"/>
        <family val="2"/>
      </rPr>
      <t xml:space="preserve"> from Worksheet 1C (b)</t>
    </r>
  </si>
  <si>
    <r>
      <t>(7)</t>
    </r>
    <r>
      <rPr>
        <sz val="6"/>
        <rFont val="Arial"/>
        <family val="2"/>
      </rPr>
      <t>FI</t>
    </r>
    <r>
      <rPr>
        <sz val="10"/>
        <rFont val="Arial"/>
        <family val="2"/>
      </rPr>
      <t xml:space="preserve"> from Worksheet 1C (b)</t>
    </r>
  </si>
  <si>
    <r>
      <t xml:space="preserve">(7) </t>
    </r>
    <r>
      <rPr>
        <vertAlign val="subscript"/>
        <sz val="10"/>
        <rFont val="Arial"/>
        <family val="2"/>
      </rPr>
      <t>FI</t>
    </r>
    <r>
      <rPr>
        <vertAlign val="superscript"/>
        <sz val="10"/>
        <rFont val="Arial"/>
        <family val="2"/>
      </rPr>
      <t>a</t>
    </r>
    <r>
      <rPr>
        <sz val="10"/>
        <rFont val="Arial"/>
        <family val="2"/>
      </rPr>
      <t xml:space="preserve"> from Worksheet 1C (b)</t>
    </r>
  </si>
  <si>
    <r>
      <t>(7)</t>
    </r>
    <r>
      <rPr>
        <sz val="6"/>
        <rFont val="Arial"/>
        <family val="2"/>
      </rPr>
      <t>PDO</t>
    </r>
    <r>
      <rPr>
        <sz val="10"/>
        <rFont val="Arial"/>
        <family val="2"/>
      </rPr>
      <t xml:space="preserve"> from Worksheet 1C (b)</t>
    </r>
  </si>
  <si>
    <t>Worksheet 1E -- Summary Results for Rural Multilane Roadway Segments</t>
  </si>
  <si>
    <t>(7) from Worksheet 1C (a) or (b)</t>
  </si>
  <si>
    <t>(2)/(3)</t>
  </si>
  <si>
    <t>Mwidth</t>
  </si>
  <si>
    <t>Divided</t>
  </si>
  <si>
    <t>Undivided</t>
  </si>
  <si>
    <t>Division</t>
  </si>
  <si>
    <t>Proportion of crashes by collision type and crash severity level</t>
  </si>
  <si>
    <t>Head-on</t>
  </si>
  <si>
    <t>Sideswipe</t>
  </si>
  <si>
    <t>Rear-end</t>
  </si>
  <si>
    <t>Angle</t>
  </si>
  <si>
    <t>Single</t>
  </si>
  <si>
    <t>Other</t>
  </si>
  <si>
    <r>
      <t xml:space="preserve">Fatal and injury </t>
    </r>
    <r>
      <rPr>
        <vertAlign val="superscript"/>
        <sz val="10"/>
        <rFont val="Arial"/>
        <family val="2"/>
      </rPr>
      <t>a</t>
    </r>
  </si>
  <si>
    <t>PDO</t>
  </si>
  <si>
    <r>
      <t>Calculated Shoulder Width (CMF</t>
    </r>
    <r>
      <rPr>
        <vertAlign val="subscript"/>
        <sz val="10"/>
        <rFont val="Arial"/>
        <family val="2"/>
      </rPr>
      <t>wrc</t>
    </r>
    <r>
      <rPr>
        <sz val="10"/>
        <rFont val="Arial"/>
        <family val="2"/>
      </rPr>
      <t>) :</t>
    </r>
  </si>
  <si>
    <r>
      <t>Calculated Shoulder Type (CMF</t>
    </r>
    <r>
      <rPr>
        <vertAlign val="subscript"/>
        <sz val="10"/>
        <rFont val="Arial"/>
        <family val="2"/>
      </rPr>
      <t xml:space="preserve"> trc</t>
    </r>
    <r>
      <rPr>
        <sz val="10"/>
        <rFont val="Arial"/>
        <family val="2"/>
      </rPr>
      <t>) :</t>
    </r>
  </si>
  <si>
    <t>1:2 or Steeper</t>
  </si>
  <si>
    <t>1:4</t>
  </si>
  <si>
    <t>1:5</t>
  </si>
  <si>
    <t>1:6</t>
  </si>
  <si>
    <t>1:7 or Flatter</t>
  </si>
  <si>
    <t>Proportion of total night-time crashes by severity level</t>
  </si>
  <si>
    <r>
      <t>Fatal and injury, p</t>
    </r>
    <r>
      <rPr>
        <vertAlign val="subscript"/>
        <sz val="10"/>
        <rFont val="Arial"/>
        <family val="2"/>
      </rPr>
      <t>inr</t>
    </r>
  </si>
  <si>
    <r>
      <t>PDO, p</t>
    </r>
    <r>
      <rPr>
        <vertAlign val="subscript"/>
        <sz val="10"/>
        <rFont val="Arial"/>
        <family val="2"/>
      </rPr>
      <t>pnr</t>
    </r>
  </si>
  <si>
    <r>
      <t>p</t>
    </r>
    <r>
      <rPr>
        <vertAlign val="subscript"/>
        <sz val="10"/>
        <rFont val="Arial"/>
        <family val="2"/>
      </rPr>
      <t>nr</t>
    </r>
  </si>
  <si>
    <t>4U</t>
  </si>
  <si>
    <t>Not Applicable</t>
  </si>
  <si>
    <t>Shld2</t>
  </si>
  <si>
    <t>Average Shoulder Width (ft)</t>
  </si>
  <si>
    <t>CMF</t>
  </si>
  <si>
    <t>4D</t>
  </si>
  <si>
    <t>SV run-off-rd, Head-on, Sideswipe</t>
  </si>
  <si>
    <t>Worksheet 2A -- General Information and Input Data for Rural Multilane Highway Intersections</t>
  </si>
  <si>
    <t>Worksheet 2B -- Crash Modification Factors for Rural Multilane Highway Intersections</t>
  </si>
  <si>
    <t>(2)*(3)*(4)*(5)</t>
  </si>
  <si>
    <r>
      <t xml:space="preserve">CMF for Intersection Skew Angle (CMF </t>
    </r>
    <r>
      <rPr>
        <vertAlign val="subscript"/>
        <sz val="10"/>
        <rFont val="Arial"/>
        <family val="2"/>
      </rPr>
      <t>1i</t>
    </r>
    <r>
      <rPr>
        <sz val="10"/>
        <rFont val="Arial"/>
        <family val="2"/>
      </rPr>
      <t xml:space="preserve"> )</t>
    </r>
  </si>
  <si>
    <t>from Equations 11-18 or 11-20 and 11-19 or     11-21</t>
  </si>
  <si>
    <t>Worksheet 2C -- Intersection Crashes for Rural Multilane Highway Intersections</t>
  </si>
  <si>
    <r>
      <t xml:space="preserve">N </t>
    </r>
    <r>
      <rPr>
        <b/>
        <vertAlign val="subscript"/>
        <sz val="10"/>
        <rFont val="Arial"/>
        <family val="2"/>
      </rPr>
      <t>spf int</t>
    </r>
  </si>
  <si>
    <t>from Equation 11-11 or 11-12</t>
  </si>
  <si>
    <t>from (6) of Worksheet 2B</t>
  </si>
  <si>
    <r>
      <t>Calibration Factor, C</t>
    </r>
    <r>
      <rPr>
        <b/>
        <vertAlign val="subscript"/>
        <sz val="10"/>
        <rFont val="Arial"/>
        <family val="2"/>
      </rPr>
      <t>i</t>
    </r>
  </si>
  <si>
    <r>
      <t>Predicted average crash frequency, N</t>
    </r>
    <r>
      <rPr>
        <b/>
        <vertAlign val="subscript"/>
        <sz val="10"/>
        <rFont val="Arial"/>
        <family val="2"/>
      </rPr>
      <t xml:space="preserve"> predicted int</t>
    </r>
  </si>
  <si>
    <t>Worksheet 2D -- Crashes by Severity Level and Collision Type for Rural Multilane Highway Intersections</t>
  </si>
  <si>
    <r>
      <t>(7)</t>
    </r>
    <r>
      <rPr>
        <sz val="6"/>
        <rFont val="Arial"/>
        <family val="2"/>
      </rPr>
      <t>TOTAL</t>
    </r>
    <r>
      <rPr>
        <sz val="10"/>
        <rFont val="Arial"/>
        <family val="2"/>
      </rPr>
      <t xml:space="preserve"> from Worksheet 2C</t>
    </r>
  </si>
  <si>
    <r>
      <t>(7)</t>
    </r>
    <r>
      <rPr>
        <sz val="6"/>
        <rFont val="Arial"/>
        <family val="2"/>
      </rPr>
      <t>FI</t>
    </r>
    <r>
      <rPr>
        <sz val="10"/>
        <rFont val="Arial"/>
        <family val="2"/>
      </rPr>
      <t xml:space="preserve"> from Worksheet 2C</t>
    </r>
  </si>
  <si>
    <r>
      <t xml:space="preserve">N </t>
    </r>
    <r>
      <rPr>
        <b/>
        <i/>
        <sz val="10"/>
        <rFont val="Arial"/>
        <family val="2"/>
      </rPr>
      <t>predicted int</t>
    </r>
    <r>
      <rPr>
        <b/>
        <sz val="10"/>
        <rFont val="Arial"/>
        <family val="2"/>
      </rPr>
      <t xml:space="preserve"> (FI</t>
    </r>
    <r>
      <rPr>
        <b/>
        <vertAlign val="superscript"/>
        <sz val="10"/>
        <rFont val="Arial"/>
        <family val="2"/>
      </rPr>
      <t>a</t>
    </r>
    <r>
      <rPr>
        <b/>
        <sz val="10"/>
        <rFont val="Arial"/>
        <family val="2"/>
      </rPr>
      <t>) (crashes/year)</t>
    </r>
  </si>
  <si>
    <r>
      <t xml:space="preserve">(7) </t>
    </r>
    <r>
      <rPr>
        <vertAlign val="subscript"/>
        <sz val="10"/>
        <rFont val="Arial"/>
        <family val="2"/>
      </rPr>
      <t>FI</t>
    </r>
    <r>
      <rPr>
        <vertAlign val="superscript"/>
        <sz val="10"/>
        <rFont val="Arial"/>
        <family val="2"/>
      </rPr>
      <t>a</t>
    </r>
    <r>
      <rPr>
        <sz val="10"/>
        <rFont val="Arial"/>
        <family val="2"/>
      </rPr>
      <t xml:space="preserve"> from Worksheet 2C</t>
    </r>
  </si>
  <si>
    <r>
      <t xml:space="preserve">N </t>
    </r>
    <r>
      <rPr>
        <b/>
        <i/>
        <vertAlign val="subscript"/>
        <sz val="10"/>
        <rFont val="Arial"/>
        <family val="2"/>
      </rPr>
      <t>predicted int</t>
    </r>
    <r>
      <rPr>
        <b/>
        <vertAlign val="subscript"/>
        <sz val="10"/>
        <rFont val="Arial"/>
        <family val="2"/>
      </rPr>
      <t xml:space="preserve"> (PDO) </t>
    </r>
    <r>
      <rPr>
        <b/>
        <sz val="10"/>
        <rFont val="Arial"/>
        <family val="2"/>
      </rPr>
      <t>(crashes/year)</t>
    </r>
  </si>
  <si>
    <r>
      <t>(7)</t>
    </r>
    <r>
      <rPr>
        <sz val="6"/>
        <rFont val="Arial"/>
        <family val="2"/>
      </rPr>
      <t>PDO</t>
    </r>
    <r>
      <rPr>
        <sz val="10"/>
        <rFont val="Arial"/>
        <family val="2"/>
      </rPr>
      <t xml:space="preserve"> from Worksheet 2C</t>
    </r>
  </si>
  <si>
    <t>Worksheet 2E -- Summary Results for Rural Multilane Highway Intersections</t>
  </si>
  <si>
    <t>(7) from Worksheet 2C</t>
  </si>
  <si>
    <t>Iapproach</t>
  </si>
  <si>
    <t>Number of non-STOP-controlled approaches with left-turn lanes (0, 1, 2)</t>
  </si>
  <si>
    <r>
      <t>p</t>
    </r>
    <r>
      <rPr>
        <vertAlign val="subscript"/>
        <sz val="10"/>
        <rFont val="Arial"/>
        <family val="2"/>
      </rPr>
      <t>ni</t>
    </r>
  </si>
  <si>
    <r>
      <t>Fatal and injury, p</t>
    </r>
    <r>
      <rPr>
        <vertAlign val="subscript"/>
        <sz val="10"/>
        <rFont val="Arial"/>
        <family val="2"/>
      </rPr>
      <t>ini</t>
    </r>
  </si>
  <si>
    <t>c or d (4SG)</t>
  </si>
  <si>
    <t>Four-leg intersections with minor road stop control</t>
  </si>
  <si>
    <t>Three-leg intersections with minor road stop control</t>
  </si>
  <si>
    <t>Worksheet 4A -- Predicted and Observed Crashes by Severity and Site Type Using the Project-Level EB Method</t>
  </si>
  <si>
    <t>Site type</t>
  </si>
  <si>
    <t>COMBINED (sum of column)</t>
  </si>
  <si>
    <r>
      <t>N</t>
    </r>
    <r>
      <rPr>
        <vertAlign val="subscript"/>
        <sz val="10"/>
        <rFont val="Arial"/>
        <family val="2"/>
      </rPr>
      <t xml:space="preserve"> predicted</t>
    </r>
    <r>
      <rPr>
        <sz val="10"/>
        <rFont val="Arial"/>
        <family val="2"/>
      </rPr>
      <t xml:space="preserve"> (TOTAL)</t>
    </r>
  </si>
  <si>
    <r>
      <t xml:space="preserve"> N</t>
    </r>
    <r>
      <rPr>
        <vertAlign val="subscript"/>
        <sz val="10"/>
        <rFont val="Arial"/>
        <family val="2"/>
      </rPr>
      <t xml:space="preserve"> predicted</t>
    </r>
    <r>
      <rPr>
        <sz val="10"/>
        <rFont val="Arial"/>
        <family val="2"/>
      </rPr>
      <t xml:space="preserve">    (PDO)</t>
    </r>
  </si>
  <si>
    <t>ROADWAY SEGMENTS</t>
  </si>
  <si>
    <t>INTERSECTIONS</t>
  </si>
  <si>
    <r>
      <t>N</t>
    </r>
    <r>
      <rPr>
        <b/>
        <vertAlign val="subscript"/>
        <sz val="10"/>
        <rFont val="Arial"/>
        <family val="2"/>
      </rPr>
      <t>w0</t>
    </r>
  </si>
  <si>
    <r>
      <t>N</t>
    </r>
    <r>
      <rPr>
        <b/>
        <vertAlign val="subscript"/>
        <sz val="10"/>
        <rFont val="Arial"/>
        <family val="2"/>
      </rPr>
      <t>w1</t>
    </r>
  </si>
  <si>
    <r>
      <t>W</t>
    </r>
    <r>
      <rPr>
        <b/>
        <vertAlign val="subscript"/>
        <sz val="10"/>
        <rFont val="Arial"/>
        <family val="2"/>
      </rPr>
      <t>0</t>
    </r>
  </si>
  <si>
    <r>
      <t>N</t>
    </r>
    <r>
      <rPr>
        <b/>
        <vertAlign val="subscript"/>
        <sz val="10"/>
        <rFont val="Arial"/>
        <family val="2"/>
      </rPr>
      <t>0</t>
    </r>
  </si>
  <si>
    <r>
      <t>Equation A-8  (6)*(2)</t>
    </r>
    <r>
      <rPr>
        <vertAlign val="superscript"/>
        <sz val="10"/>
        <rFont val="Arial"/>
        <family val="2"/>
      </rPr>
      <t>2</t>
    </r>
  </si>
  <si>
    <t>Equation A-9  sqrt((6)*(2))</t>
  </si>
  <si>
    <r>
      <t>w</t>
    </r>
    <r>
      <rPr>
        <b/>
        <vertAlign val="subscript"/>
        <sz val="10"/>
        <rFont val="Arial"/>
        <family val="2"/>
      </rPr>
      <t>1</t>
    </r>
  </si>
  <si>
    <r>
      <t>N</t>
    </r>
    <r>
      <rPr>
        <b/>
        <vertAlign val="subscript"/>
        <sz val="10"/>
        <rFont val="Arial"/>
        <family val="2"/>
      </rPr>
      <t>1</t>
    </r>
  </si>
  <si>
    <t>Equation   A-10</t>
  </si>
  <si>
    <t>Equation   A-11</t>
  </si>
  <si>
    <t>Equation   A-12</t>
  </si>
  <si>
    <t>Equation   A-13</t>
  </si>
  <si>
    <r>
      <t>N</t>
    </r>
    <r>
      <rPr>
        <b/>
        <vertAlign val="subscript"/>
        <sz val="10"/>
        <rFont val="Arial"/>
        <family val="2"/>
      </rPr>
      <t>p/comb</t>
    </r>
  </si>
  <si>
    <t>Equation   A-14</t>
  </si>
  <si>
    <r>
      <t>Observed crashes,</t>
    </r>
    <r>
      <rPr>
        <sz val="10"/>
        <rFont val="Arial"/>
        <family val="2"/>
      </rPr>
      <t xml:space="preserve">   N</t>
    </r>
    <r>
      <rPr>
        <vertAlign val="subscript"/>
        <sz val="10"/>
        <rFont val="Arial"/>
        <family val="2"/>
      </rPr>
      <t>observed</t>
    </r>
    <r>
      <rPr>
        <sz val="10"/>
        <rFont val="Arial"/>
        <family val="2"/>
      </rPr>
      <t xml:space="preserve"> (crashes/year)</t>
    </r>
  </si>
  <si>
    <t>Worksheet 3A -- Predicted and Observed Crashes by Severity and Site Type Using the Site-Specific EB Method</t>
  </si>
  <si>
    <t>Weighted adjustment, w</t>
  </si>
  <si>
    <r>
      <t>Expected average crash frequency, N</t>
    </r>
    <r>
      <rPr>
        <b/>
        <vertAlign val="subscript"/>
        <sz val="10"/>
        <rFont val="Arial"/>
        <family val="2"/>
      </rPr>
      <t>expected</t>
    </r>
  </si>
  <si>
    <t>Equation A-5 from Part C Appendix</t>
  </si>
  <si>
    <t>Equation   A-4 from Part C Appendix</t>
  </si>
  <si>
    <t>Worksheet 3B -- Site-Specific EB Method Summary Results</t>
  </si>
  <si>
    <r>
      <t xml:space="preserve">N </t>
    </r>
    <r>
      <rPr>
        <b/>
        <vertAlign val="subscript"/>
        <sz val="10"/>
        <rFont val="Arial"/>
        <family val="2"/>
      </rPr>
      <t>predicted</t>
    </r>
  </si>
  <si>
    <r>
      <t xml:space="preserve">N </t>
    </r>
    <r>
      <rPr>
        <b/>
        <vertAlign val="subscript"/>
        <sz val="10"/>
        <rFont val="Arial"/>
        <family val="2"/>
      </rPr>
      <t>expected</t>
    </r>
  </si>
  <si>
    <r>
      <t>(2)</t>
    </r>
    <r>
      <rPr>
        <vertAlign val="subscript"/>
        <sz val="10"/>
        <rFont val="Arial"/>
        <family val="2"/>
      </rPr>
      <t>COMB</t>
    </r>
    <r>
      <rPr>
        <sz val="10"/>
        <rFont val="Arial"/>
        <family val="2"/>
      </rPr>
      <t xml:space="preserve"> from Worksheet 3A</t>
    </r>
  </si>
  <si>
    <r>
      <t>(8)</t>
    </r>
    <r>
      <rPr>
        <vertAlign val="subscript"/>
        <sz val="10"/>
        <rFont val="Arial"/>
        <family val="2"/>
      </rPr>
      <t>COMB</t>
    </r>
    <r>
      <rPr>
        <sz val="10"/>
        <rFont val="Arial"/>
        <family val="2"/>
      </rPr>
      <t xml:space="preserve"> from Worksheet 3A</t>
    </r>
  </si>
  <si>
    <t>Fatal and injury (FI)</t>
  </si>
  <si>
    <t>Property damage only (PDO)</t>
  </si>
  <si>
    <r>
      <t>(3)</t>
    </r>
    <r>
      <rPr>
        <vertAlign val="subscript"/>
        <sz val="10"/>
        <rFont val="Arial"/>
        <family val="2"/>
      </rPr>
      <t>COMB</t>
    </r>
    <r>
      <rPr>
        <sz val="10"/>
        <rFont val="Arial"/>
        <family val="2"/>
      </rPr>
      <t xml:space="preserve"> from Worksheet 3A</t>
    </r>
  </si>
  <si>
    <r>
      <t>(4)</t>
    </r>
    <r>
      <rPr>
        <vertAlign val="subscript"/>
        <sz val="10"/>
        <rFont val="Arial"/>
        <family val="2"/>
      </rPr>
      <t>COMB</t>
    </r>
    <r>
      <rPr>
        <sz val="10"/>
        <rFont val="Arial"/>
        <family val="2"/>
      </rPr>
      <t xml:space="preserve"> from Worksheet 3A</t>
    </r>
  </si>
  <si>
    <r>
      <t>(3)</t>
    </r>
    <r>
      <rPr>
        <vertAlign val="subscript"/>
        <sz val="10"/>
        <rFont val="Arial"/>
        <family val="2"/>
      </rPr>
      <t>TOTAL</t>
    </r>
    <r>
      <rPr>
        <sz val="10"/>
        <rFont val="Arial"/>
        <family val="2"/>
      </rPr>
      <t xml:space="preserve"> * (2)</t>
    </r>
    <r>
      <rPr>
        <vertAlign val="subscript"/>
        <sz val="10"/>
        <rFont val="Arial"/>
        <family val="2"/>
      </rPr>
      <t>FI</t>
    </r>
    <r>
      <rPr>
        <sz val="10"/>
        <rFont val="Arial"/>
        <family val="2"/>
      </rPr>
      <t xml:space="preserve"> / (2) </t>
    </r>
    <r>
      <rPr>
        <vertAlign val="subscript"/>
        <sz val="10"/>
        <rFont val="Arial"/>
        <family val="2"/>
      </rPr>
      <t>TOTAL</t>
    </r>
  </si>
  <si>
    <r>
      <t>(3)</t>
    </r>
    <r>
      <rPr>
        <vertAlign val="subscript"/>
        <sz val="10"/>
        <rFont val="Arial"/>
        <family val="2"/>
      </rPr>
      <t>TOTAL</t>
    </r>
    <r>
      <rPr>
        <sz val="10"/>
        <rFont val="Arial"/>
        <family val="2"/>
      </rPr>
      <t xml:space="preserve"> * (2)</t>
    </r>
    <r>
      <rPr>
        <vertAlign val="subscript"/>
        <sz val="10"/>
        <rFont val="Arial"/>
        <family val="2"/>
      </rPr>
      <t>PDO</t>
    </r>
    <r>
      <rPr>
        <sz val="10"/>
        <rFont val="Arial"/>
        <family val="2"/>
      </rPr>
      <t xml:space="preserve"> / (2) </t>
    </r>
    <r>
      <rPr>
        <vertAlign val="subscript"/>
        <sz val="10"/>
        <rFont val="Arial"/>
        <family val="2"/>
      </rPr>
      <t>TOTAL</t>
    </r>
  </si>
  <si>
    <r>
      <t xml:space="preserve"> N</t>
    </r>
    <r>
      <rPr>
        <vertAlign val="subscript"/>
        <sz val="10"/>
        <rFont val="Arial"/>
        <family val="2"/>
      </rPr>
      <t xml:space="preserve"> predicted    </t>
    </r>
    <r>
      <rPr>
        <sz val="10"/>
        <rFont val="Arial"/>
        <family val="2"/>
      </rPr>
      <t xml:space="preserve">  (FI)</t>
    </r>
  </si>
  <si>
    <t>Worksheet 4B -- Project-Level EB Method Summary Results</t>
  </si>
  <si>
    <r>
      <t>(2)</t>
    </r>
    <r>
      <rPr>
        <vertAlign val="subscript"/>
        <sz val="10"/>
        <rFont val="Arial"/>
        <family val="2"/>
      </rPr>
      <t>COMB</t>
    </r>
    <r>
      <rPr>
        <sz val="10"/>
        <rFont val="Arial"/>
        <family val="2"/>
      </rPr>
      <t xml:space="preserve"> from Worksheet 4A</t>
    </r>
  </si>
  <si>
    <r>
      <t>(3)</t>
    </r>
    <r>
      <rPr>
        <vertAlign val="subscript"/>
        <sz val="10"/>
        <rFont val="Arial"/>
        <family val="2"/>
      </rPr>
      <t>COMB</t>
    </r>
    <r>
      <rPr>
        <sz val="10"/>
        <rFont val="Arial"/>
        <family val="2"/>
      </rPr>
      <t xml:space="preserve"> from Worksheet 4A</t>
    </r>
  </si>
  <si>
    <r>
      <t>(4)</t>
    </r>
    <r>
      <rPr>
        <vertAlign val="subscript"/>
        <sz val="10"/>
        <rFont val="Arial"/>
        <family val="2"/>
      </rPr>
      <t>COMB</t>
    </r>
    <r>
      <rPr>
        <sz val="10"/>
        <rFont val="Arial"/>
        <family val="2"/>
      </rPr>
      <t xml:space="preserve"> from Worksheet 4A</t>
    </r>
  </si>
  <si>
    <r>
      <t>(13)</t>
    </r>
    <r>
      <rPr>
        <vertAlign val="subscript"/>
        <sz val="10"/>
        <rFont val="Arial"/>
        <family val="2"/>
      </rPr>
      <t>COMB</t>
    </r>
    <r>
      <rPr>
        <sz val="10"/>
        <rFont val="Arial"/>
        <family val="2"/>
      </rPr>
      <t xml:space="preserve"> from Worksheet 4A</t>
    </r>
  </si>
  <si>
    <t>The current contents of this spreadsheet include the following:</t>
  </si>
  <si>
    <t>Worksheet Name</t>
  </si>
  <si>
    <t>Contents</t>
  </si>
  <si>
    <t>Overview</t>
  </si>
  <si>
    <t>Instructions</t>
  </si>
  <si>
    <t>Color Coding in the Worksheets</t>
  </si>
  <si>
    <t>Color Used</t>
  </si>
  <si>
    <t>Type of Information Required from User</t>
  </si>
  <si>
    <t>Median Width (ft)</t>
  </si>
  <si>
    <t>N spf rd</t>
  </si>
  <si>
    <t>Proportion of Collision Type(FI)</t>
  </si>
  <si>
    <t>Note: The collision types related to lane width to which this CMF applies include run-off-the-road, head-on crashes, and sideswipes.</t>
  </si>
  <si>
    <t>Calculations for the CMF for Shoulder Type and Widths</t>
  </si>
  <si>
    <t>Tables Affiliated with Crash Statistics:</t>
  </si>
  <si>
    <t>Tables Affiliated with Crash Modification Factors:</t>
  </si>
  <si>
    <r>
      <t xml:space="preserve">   N</t>
    </r>
    <r>
      <rPr>
        <vertAlign val="subscript"/>
        <sz val="10"/>
        <rFont val="Arial"/>
        <family val="2"/>
      </rPr>
      <t xml:space="preserve"> predicted</t>
    </r>
    <r>
      <rPr>
        <sz val="10"/>
        <rFont val="Arial"/>
        <family val="2"/>
      </rPr>
      <t xml:space="preserve">     (FI)</t>
    </r>
  </si>
  <si>
    <r>
      <t>(CMF</t>
    </r>
    <r>
      <rPr>
        <vertAlign val="subscript"/>
        <sz val="10"/>
        <rFont val="Arial"/>
        <family val="2"/>
      </rPr>
      <t xml:space="preserve"> 2i</t>
    </r>
    <r>
      <rPr>
        <sz val="10"/>
        <rFont val="Arial"/>
        <family val="2"/>
      </rPr>
      <t xml:space="preserve"> )</t>
    </r>
  </si>
  <si>
    <r>
      <t>(CMF</t>
    </r>
    <r>
      <rPr>
        <vertAlign val="subscript"/>
        <sz val="10"/>
        <rFont val="Arial"/>
        <family val="2"/>
      </rPr>
      <t xml:space="preserve"> 3i </t>
    </r>
    <r>
      <rPr>
        <sz val="10"/>
        <rFont val="Arial"/>
        <family val="2"/>
      </rPr>
      <t>)</t>
    </r>
  </si>
  <si>
    <r>
      <t>(CMF</t>
    </r>
    <r>
      <rPr>
        <vertAlign val="subscript"/>
        <sz val="10"/>
        <rFont val="Arial"/>
        <family val="2"/>
      </rPr>
      <t xml:space="preserve"> 4i </t>
    </r>
    <r>
      <rPr>
        <sz val="10"/>
        <rFont val="Arial"/>
        <family val="2"/>
      </rPr>
      <t>)</t>
    </r>
  </si>
  <si>
    <r>
      <t>Combined CMF (CMF</t>
    </r>
    <r>
      <rPr>
        <vertAlign val="subscript"/>
        <sz val="10"/>
        <rFont val="Arial"/>
        <family val="2"/>
      </rPr>
      <t xml:space="preserve"> COMB </t>
    </r>
    <r>
      <rPr>
        <sz val="10"/>
        <rFont val="Arial"/>
        <family val="2"/>
      </rPr>
      <t>)</t>
    </r>
  </si>
  <si>
    <t>from Equation 11-22</t>
  </si>
  <si>
    <t>Number of non-STOP-controlled approaches with right-turn lanes (0, 1, 2, 3, or 4)</t>
  </si>
  <si>
    <t>RtApproach</t>
  </si>
  <si>
    <t>Shoulder width (ft) - right shoulder width for divided [if differ for directions of travel, use average width]</t>
  </si>
  <si>
    <t>1:3</t>
  </si>
  <si>
    <t>Sslope2</t>
  </si>
  <si>
    <r>
      <t>Predicted average crash frequency, N</t>
    </r>
    <r>
      <rPr>
        <b/>
        <vertAlign val="subscript"/>
        <sz val="10"/>
        <rFont val="Arial"/>
        <family val="2"/>
      </rPr>
      <t xml:space="preserve"> predicted rs(u)</t>
    </r>
  </si>
  <si>
    <r>
      <t>Predicted average crash frequency, N</t>
    </r>
    <r>
      <rPr>
        <b/>
        <vertAlign val="subscript"/>
        <sz val="10"/>
        <rFont val="Arial"/>
        <family val="2"/>
      </rPr>
      <t xml:space="preserve"> predicted rs(d)</t>
    </r>
  </si>
  <si>
    <r>
      <t xml:space="preserve">N </t>
    </r>
    <r>
      <rPr>
        <b/>
        <sz val="6"/>
        <rFont val="Arial"/>
        <family val="2"/>
      </rPr>
      <t>predicted rs(d) (TOTAL)</t>
    </r>
    <r>
      <rPr>
        <b/>
        <sz val="10"/>
        <rFont val="Arial"/>
        <family val="2"/>
      </rPr>
      <t xml:space="preserve"> (crashes/year)</t>
    </r>
  </si>
  <si>
    <r>
      <t xml:space="preserve">N </t>
    </r>
    <r>
      <rPr>
        <b/>
        <sz val="6"/>
        <rFont val="Arial"/>
        <family val="2"/>
      </rPr>
      <t>predicted rs(d) (FI)</t>
    </r>
    <r>
      <rPr>
        <b/>
        <sz val="10"/>
        <rFont val="Arial"/>
        <family val="2"/>
      </rPr>
      <t xml:space="preserve"> (crashes/year)</t>
    </r>
  </si>
  <si>
    <r>
      <t xml:space="preserve">N </t>
    </r>
    <r>
      <rPr>
        <b/>
        <vertAlign val="subscript"/>
        <sz val="10"/>
        <rFont val="Arial"/>
        <family val="2"/>
      </rPr>
      <t xml:space="preserve">predicted rs(d) (PDO) </t>
    </r>
    <r>
      <rPr>
        <b/>
        <sz val="10"/>
        <rFont val="Arial"/>
        <family val="2"/>
      </rPr>
      <t>(crashes/year)</t>
    </r>
  </si>
  <si>
    <r>
      <t xml:space="preserve">N </t>
    </r>
    <r>
      <rPr>
        <b/>
        <sz val="6"/>
        <rFont val="Arial"/>
        <family val="2"/>
      </rPr>
      <t>predicted rs(u) (TOTAL)</t>
    </r>
    <r>
      <rPr>
        <b/>
        <sz val="10"/>
        <rFont val="Arial"/>
        <family val="2"/>
      </rPr>
      <t xml:space="preserve"> (crashes/year)</t>
    </r>
  </si>
  <si>
    <r>
      <t xml:space="preserve">N </t>
    </r>
    <r>
      <rPr>
        <b/>
        <sz val="6"/>
        <rFont val="Arial"/>
        <family val="2"/>
      </rPr>
      <t>predicted rs(u) (FI)</t>
    </r>
    <r>
      <rPr>
        <b/>
        <sz val="10"/>
        <rFont val="Arial"/>
        <family val="2"/>
      </rPr>
      <t xml:space="preserve"> (crashes/year)</t>
    </r>
  </si>
  <si>
    <r>
      <t xml:space="preserve">N </t>
    </r>
    <r>
      <rPr>
        <b/>
        <vertAlign val="subscript"/>
        <sz val="10"/>
        <rFont val="Arial"/>
        <family val="2"/>
      </rPr>
      <t>predicted rs(u)</t>
    </r>
    <r>
      <rPr>
        <b/>
        <sz val="10"/>
        <rFont val="Arial"/>
        <family val="2"/>
      </rPr>
      <t xml:space="preserve"> (FI</t>
    </r>
    <r>
      <rPr>
        <b/>
        <vertAlign val="superscript"/>
        <sz val="10"/>
        <rFont val="Arial"/>
        <family val="2"/>
      </rPr>
      <t>a</t>
    </r>
    <r>
      <rPr>
        <b/>
        <sz val="10"/>
        <rFont val="Arial"/>
        <family val="2"/>
      </rPr>
      <t>) (crashes/year)</t>
    </r>
  </si>
  <si>
    <r>
      <t xml:space="preserve">N </t>
    </r>
    <r>
      <rPr>
        <b/>
        <vertAlign val="subscript"/>
        <sz val="10"/>
        <rFont val="Arial"/>
        <family val="2"/>
      </rPr>
      <t xml:space="preserve">predicted rs(u) (PDO) </t>
    </r>
    <r>
      <rPr>
        <b/>
        <sz val="10"/>
        <rFont val="Arial"/>
        <family val="2"/>
      </rPr>
      <t>(crashes/year)</t>
    </r>
  </si>
  <si>
    <t>Tables Affiliated with Crash Modification Factors for Specific Segment AADT values:</t>
  </si>
  <si>
    <t>Shld3</t>
  </si>
  <si>
    <t>Note:  The 4-leg Signalized Intersection (4SG) models do not have base conditions and so can only be used for estimation purposes.  As a result, there are not CMFs provided for the 4SG condition.</t>
  </si>
  <si>
    <t>N spf rs(u)</t>
  </si>
  <si>
    <t>Highway Safety Manual 1st Edition, Volume 2, Chapter 11-- Predictive Method for Rural Multilane Highways -- Analysis Spreadsheet Summary</t>
  </si>
  <si>
    <t>Table 11-4: Distribution of Crashes by Collision Type and Crash Severity Level for Undivided Roadway Segments</t>
  </si>
  <si>
    <t>Table 11-6: Distribution of Crashes by Collision Type and Crash Severity Level for Divided Roadway Segments</t>
  </si>
  <si>
    <t>Table 11-9: Distribution of Intersection Crashes by Collision Type and Crash Severity</t>
  </si>
  <si>
    <r>
      <t>Table 11-11: CMF for Lane Width on Undivided Roadway Segments (CMF</t>
    </r>
    <r>
      <rPr>
        <b/>
        <vertAlign val="subscript"/>
        <sz val="10"/>
        <rFont val="Arial"/>
        <family val="2"/>
      </rPr>
      <t>RA</t>
    </r>
    <r>
      <rPr>
        <b/>
        <sz val="10"/>
        <rFont val="Arial"/>
        <family val="2"/>
      </rPr>
      <t>)</t>
    </r>
  </si>
  <si>
    <r>
      <t>Table 11-12: CMF for Collision Types Related to Shoulder Width (CMF</t>
    </r>
    <r>
      <rPr>
        <b/>
        <vertAlign val="subscript"/>
        <sz val="10"/>
        <rFont val="Arial"/>
        <family val="2"/>
      </rPr>
      <t>WRA</t>
    </r>
    <r>
      <rPr>
        <b/>
        <sz val="10"/>
        <rFont val="Arial"/>
        <family val="2"/>
      </rPr>
      <t>)</t>
    </r>
  </si>
  <si>
    <r>
      <t>Table 11-13: CMF for Collision Types Related to Shoulder Types and Shoulder Widths (CMF</t>
    </r>
    <r>
      <rPr>
        <b/>
        <vertAlign val="subscript"/>
        <sz val="10"/>
        <rFont val="Arial"/>
        <family val="2"/>
      </rPr>
      <t>TRA</t>
    </r>
    <r>
      <rPr>
        <b/>
        <sz val="10"/>
        <rFont val="Arial"/>
        <family val="2"/>
      </rPr>
      <t>)</t>
    </r>
  </si>
  <si>
    <r>
      <t>Table 11-14: CMF for Side Slope on Undivided Roadway Segments (CMF</t>
    </r>
    <r>
      <rPr>
        <b/>
        <vertAlign val="subscript"/>
        <sz val="10"/>
        <rFont val="Arial"/>
        <family val="2"/>
      </rPr>
      <t>3ru</t>
    </r>
    <r>
      <rPr>
        <b/>
        <sz val="10"/>
        <rFont val="Arial"/>
        <family val="2"/>
      </rPr>
      <t>)</t>
    </r>
  </si>
  <si>
    <t>from Table 11-14</t>
  </si>
  <si>
    <t>Table 11-15: Night-time Crash Proportions for Unlighted Roadway Segments</t>
  </si>
  <si>
    <r>
      <t>Table 11-16: CMF for Lane Width on Divided Roadway Segments (CMF</t>
    </r>
    <r>
      <rPr>
        <b/>
        <vertAlign val="subscript"/>
        <sz val="10"/>
        <rFont val="Arial"/>
        <family val="2"/>
      </rPr>
      <t>RA</t>
    </r>
    <r>
      <rPr>
        <b/>
        <sz val="10"/>
        <rFont val="Arial"/>
        <family val="2"/>
      </rPr>
      <t>)</t>
    </r>
  </si>
  <si>
    <t>Tables Affiliated with CMFs for Specific Segment AADT values:</t>
  </si>
  <si>
    <r>
      <t>Table 11-17: CMF for Right Shoulder Width on Divided Roadway Segments (CMF2</t>
    </r>
    <r>
      <rPr>
        <b/>
        <vertAlign val="subscript"/>
        <sz val="10"/>
        <rFont val="Arial"/>
        <family val="2"/>
      </rPr>
      <t>rd</t>
    </r>
    <r>
      <rPr>
        <b/>
        <sz val="10"/>
        <rFont val="Arial"/>
        <family val="2"/>
      </rPr>
      <t>)</t>
    </r>
  </si>
  <si>
    <t>from Table 11-17</t>
  </si>
  <si>
    <r>
      <t>Table 11-18: CMF for Median Width on Divided Roadway Segments without a Median Barrier(CMF3</t>
    </r>
    <r>
      <rPr>
        <b/>
        <vertAlign val="subscript"/>
        <sz val="10"/>
        <rFont val="Arial"/>
        <family val="2"/>
      </rPr>
      <t>rd</t>
    </r>
    <r>
      <rPr>
        <b/>
        <sz val="10"/>
        <rFont val="Arial"/>
        <family val="2"/>
      </rPr>
      <t>)</t>
    </r>
  </si>
  <si>
    <t>from Table 11-18</t>
  </si>
  <si>
    <t>Table 11-19: Night-time Crash Proportions for Unlighted Roadway Segments</t>
  </si>
  <si>
    <t>from Table 11-3</t>
  </si>
  <si>
    <t>from Table 11-5</t>
  </si>
  <si>
    <t>from Table 11-6</t>
  </si>
  <si>
    <t>from Table 11-4</t>
  </si>
  <si>
    <t xml:space="preserve">  from Table   11-4</t>
  </si>
  <si>
    <t>Table 11-24: Night-time Crash Proportions for Unlighted Intersections</t>
  </si>
  <si>
    <t>from Table 11-22</t>
  </si>
  <si>
    <t>from Table 11-23</t>
  </si>
  <si>
    <t>from Table 11-7 or 11-8</t>
  </si>
  <si>
    <t>from Table 11-9</t>
  </si>
  <si>
    <t xml:space="preserve">  from Table   11-9</t>
  </si>
  <si>
    <r>
      <t>AADT</t>
    </r>
    <r>
      <rPr>
        <vertAlign val="subscript"/>
        <sz val="10"/>
        <rFont val="Arial"/>
        <family val="2"/>
      </rPr>
      <t>MAX</t>
    </r>
    <r>
      <rPr>
        <sz val="10"/>
        <rFont val="Arial"/>
        <family val="2"/>
      </rPr>
      <t xml:space="preserve"> =</t>
    </r>
  </si>
  <si>
    <t>(veh/day)</t>
  </si>
  <si>
    <t>Spreadsheet developed by:</t>
  </si>
  <si>
    <t>Karen Dixon, Ph.D., P.E.</t>
  </si>
  <si>
    <t>Skew Intersection:</t>
  </si>
  <si>
    <t>Texas A&amp;M Transportation Institute</t>
  </si>
  <si>
    <t>3135 TAMU</t>
  </si>
  <si>
    <t>College Station, TX  77843-3135</t>
  </si>
  <si>
    <t>Email:  k-dixon@tamu.edu</t>
  </si>
  <si>
    <t>Phone:  979-845-9906</t>
  </si>
  <si>
    <t>Intersetion Totals:</t>
  </si>
  <si>
    <t>Segment Totals:</t>
  </si>
  <si>
    <t>Intersesection Totals:</t>
  </si>
  <si>
    <t>Last modified:</t>
  </si>
  <si>
    <t>Spreadsheet modification tracking</t>
  </si>
  <si>
    <t>Date</t>
  </si>
  <si>
    <t>Modified by</t>
  </si>
  <si>
    <t>Description</t>
  </si>
  <si>
    <t>August, 2015</t>
  </si>
  <si>
    <t>Karen Dixon (k-dixon@tamu.edu)</t>
  </si>
  <si>
    <t>Updates per errata, other</t>
  </si>
  <si>
    <t>July, 2019</t>
  </si>
  <si>
    <t>Tariq Shihadah (tariq.shihadah@jacobs.com)</t>
  </si>
  <si>
    <t>Required input information as identified in the HSM.</t>
  </si>
  <si>
    <t>Input data required from the user but  restricted to options provided in pull-down boxes.</t>
  </si>
  <si>
    <t>Optional input information that can be used to supplement the analysis if this information is available.  This optional input information is reserved for locally-derived crash information. If the analyst elects to use this option so as to improve analysis for local crash distribution trends, each of the Exhibits with the locally- derived input also includes a pull-down box where the analyst should indicate they are using locally derive crash information.  The worksheets will then use the local values instead of the HSM default values.</t>
  </si>
  <si>
    <t>The worksheets include three specific color options to help users identify locations where input data is required.  In some cases, the shaded cells require the user to input specific numbers. In other cases the input is restricted to a select set of options included in pull-down lists. The respective color coding is as follows:</t>
  </si>
  <si>
    <t>This spreadsheet has been developed to demonstrate the predictive models for rural multilane highways as contained in the new Highway Safety Manual. The content was developed for training purposes and all users should verify that the answers they obtain with these worksheets correctly represent their target analysis.</t>
  </si>
  <si>
    <t>Current worksheet displaying overview, summary of spreadsheet worksheets, and description of color coding included in the worksheets.</t>
  </si>
  <si>
    <t>Tables 11-9 and 11-24 are intersection exhibits for estimating crash distributions and can be modified for locally-derived conditions if this information is available.</t>
  </si>
  <si>
    <t>Data in this worksheet has been used to help define the pull-down options in the analysis worksheets.  There is no need for a user to work within this worksheet, but the worksheet should be retained so that the other worksheets can continue to use the options included in this sheet.</t>
  </si>
  <si>
    <t>Segment_Divided_1</t>
  </si>
  <si>
    <t>Segment_Undivided_1</t>
  </si>
  <si>
    <t>Reference Tables (Segment)</t>
  </si>
  <si>
    <t>Reference Tables (Intersection)</t>
  </si>
  <si>
    <t>Intersection_1</t>
  </si>
  <si>
    <t>Construction - Do Not Delete</t>
  </si>
  <si>
    <t>(enter name)</t>
  </si>
  <si>
    <t>(enter agency)</t>
  </si>
  <si>
    <t>(enter date)</t>
  </si>
  <si>
    <t>(enter roadway name)</t>
  </si>
  <si>
    <t>(enter roadway section)</t>
  </si>
  <si>
    <t>(enter jurisdiction)</t>
  </si>
  <si>
    <t>(enter intersection name)</t>
  </si>
  <si>
    <t>ROADWAY SEGMENTS (DIVIDED)</t>
  </si>
  <si>
    <t>ROADWAY SEGMENTS (UNDIVIDED)</t>
  </si>
  <si>
    <t>Intersection_2</t>
  </si>
  <si>
    <t>Intersection_3</t>
  </si>
  <si>
    <t>Intersection_4</t>
  </si>
  <si>
    <t>Intersection_5</t>
  </si>
  <si>
    <t>Intersection_6</t>
  </si>
  <si>
    <t>Intersection_7</t>
  </si>
  <si>
    <t>Intersection_8</t>
  </si>
  <si>
    <t>Segment_Divided_2</t>
  </si>
  <si>
    <t>Segment_Divided_3</t>
  </si>
  <si>
    <t>Segment_Divided_4</t>
  </si>
  <si>
    <t>Segment_Divided_5</t>
  </si>
  <si>
    <t>Segment_Divided_6</t>
  </si>
  <si>
    <t>Segment_Divided_7</t>
  </si>
  <si>
    <t>Segment_Divided_8</t>
  </si>
  <si>
    <t>Segment_Undivided_2</t>
  </si>
  <si>
    <t>Segment_Undivided_3</t>
  </si>
  <si>
    <t>Segment_Undivided_4</t>
  </si>
  <si>
    <t>Segment_Undivided_5</t>
  </si>
  <si>
    <t>Segment_Undivided_6</t>
  </si>
  <si>
    <t>Segment_Undivided_7</t>
  </si>
  <si>
    <t>Segment_Undivided_8</t>
  </si>
  <si>
    <t>The page tabs shown at the bottom of this file represent the various analyses that can be performed using this spreadsheet tool and the HSM predictive methods. To conduct an analysis, the user should complete one worksheet per segment or intersection location using divided segment worksheets 1-8, undivided segment worksheets 1-8, and/or intersection worksheets 1-8. Results of the analysis are compiled in the summary worksheets where observed crash data can be input to perform the Empirical Bayes method.</t>
  </si>
  <si>
    <t>Analysis for rural divided multilane segments that includes AADT specific Table 11-16. The associated HSM worksheets are Worksheets 1A, 1B(a), 1C(a), 1D(a), and 1E.</t>
  </si>
  <si>
    <t>Analysis for rural undivided multilane segments that includes AADT specific Tables 11-11 and 11-12. The associated HSM worksheets are Worksheets 1A, 1B(b), 1C(b), 1D(b), and 1E.</t>
  </si>
  <si>
    <t>Analysis for rural multilane intersections that includes Tables 11-9 and 11-24. The associated HSM worksheets are Worksheets 2A, 2B, 2C, 2D, and 2E.</t>
  </si>
  <si>
    <t>Summary Tables (Site Totals)</t>
  </si>
  <si>
    <t>Summary Tables (Project Total)</t>
  </si>
  <si>
    <t>Summary of results and for site-specific EB analysis using results from the segment and intersection worksheets.This analysis can be performed if the analyst knows the exact location of historic crashes within the study limits. The associated HSM worksheets are Worksheets 3A and 3B.</t>
  </si>
  <si>
    <t>Summary of results and for project-specific EB analysis using results from the segment and intersection worksheets. This analysis can be performed if the analyst has historic crash data, but does not know the exact location within the project limits at which the crashes occurred. The associated HSM worksheets are Worksheets 4A and 4B.</t>
  </si>
  <si>
    <t>Worksheet shows exhibits for use by the segment worksheets. These exhibits  are independent and do not depend on input values. This worksheet includes exhibits that summarize crash information and can be modified for locally-derived conditions.  These are Tables 11-4, 11-6, 11-15, and 11-19.  Tables specific to CMFs are also included. The CMF tables in this worksheet are 11-13, 11-14, 11-17, and 11-18.</t>
  </si>
  <si>
    <t>Segment_Divided_1-8</t>
  </si>
  <si>
    <t>Segment_Undivided_1-8</t>
  </si>
  <si>
    <t>Intersection_1-8</t>
  </si>
  <si>
    <t>Formatting, consistency, comments by HSM Steering Group; updated formulas in summary sheets for consistency, ease of use; modified instructional text for consistency between workbooks and clarity</t>
  </si>
  <si>
    <t>Email: tariq.shihadah@jacobs.com</t>
  </si>
  <si>
    <t>July, 2019 by Tariq Shihadah, Brianna Lawton (Jacobs)</t>
  </si>
  <si>
    <t>For questions:</t>
  </si>
  <si>
    <t>info@highwaysafetymanual.com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</si>
</sst>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m/dd/yy;@"/>
    <numFmt numFmtId="166" formatCode="0.0"/>
    <numFmt numFmtId="167" formatCode="#,##0.000"/>
  </numFmts>
  <fonts count="22" x14ac:knownFonts="1">
    <font>
      <sz val="10"/>
      <name val="Arial"/>
    </font>
    <font>
      <sz val="10"/>
      <name val="Arial"/>
      <family val="2"/>
    </font>
    <font>
      <sz val="8"/>
      <name val="Arial"/>
      <family val="2"/>
    </font>
    <font>
      <b/>
      <sz val="10"/>
      <name val="Arial"/>
      <family val="2"/>
    </font>
    <font>
      <i/>
      <sz val="10"/>
      <name val="Arial"/>
      <family val="2"/>
    </font>
    <font>
      <sz val="8"/>
      <name val="Arial"/>
      <family val="2"/>
    </font>
    <font>
      <sz val="10"/>
      <name val="Arial"/>
      <family val="2"/>
    </font>
    <font>
      <sz val="6"/>
      <name val="Arial"/>
      <family val="2"/>
    </font>
    <font>
      <b/>
      <sz val="6"/>
      <name val="Arial"/>
      <family val="2"/>
    </font>
    <font>
      <b/>
      <i/>
      <sz val="6"/>
      <name val="Arial"/>
      <family val="2"/>
    </font>
    <font>
      <b/>
      <vertAlign val="subscript"/>
      <sz val="10"/>
      <name val="Arial"/>
      <family val="2"/>
    </font>
    <font>
      <vertAlign val="subscript"/>
      <sz val="10"/>
      <name val="Arial"/>
      <family val="2"/>
    </font>
    <font>
      <b/>
      <vertAlign val="superscript"/>
      <sz val="10"/>
      <name val="Arial"/>
      <family val="2"/>
    </font>
    <font>
      <vertAlign val="superscript"/>
      <sz val="10"/>
      <name val="Arial"/>
      <family val="2"/>
    </font>
    <font>
      <vertAlign val="superscript"/>
      <sz val="8"/>
      <name val="Arial"/>
      <family val="2"/>
    </font>
    <font>
      <b/>
      <i/>
      <sz val="10"/>
      <name val="Arial"/>
      <family val="2"/>
    </font>
    <font>
      <b/>
      <i/>
      <vertAlign val="subscript"/>
      <sz val="10"/>
      <name val="Arial"/>
      <family val="2"/>
    </font>
    <font>
      <b/>
      <u/>
      <sz val="10"/>
      <name val="Arial"/>
      <family val="2"/>
    </font>
    <font>
      <u/>
      <sz val="10"/>
      <name val="Arial"/>
      <family val="2"/>
    </font>
    <font>
      <b/>
      <sz val="10"/>
      <color rgb="FF002060"/>
      <name val="Arial"/>
      <family val="2"/>
    </font>
    <font>
      <b/>
      <u/>
      <sz val="10"/>
      <color rgb="FF002060"/>
      <name val="Arial"/>
      <family val="2"/>
    </font>
    <font>
      <u/>
      <sz val="10"/>
      <color theme="10"/>
      <name val="Arial"/>
      <family val="2"/>
    </font>
  </fonts>
  <fills count="8">
    <fill>
      <patternFill patternType="none"/>
    </fill>
    <fill>
      <patternFill patternType="gray125"/>
    </fill>
    <fill>
      <patternFill patternType="solid">
        <fgColor rgb="FF56B4E9"/>
        <bgColor indexed="64"/>
      </patternFill>
    </fill>
    <fill>
      <patternFill patternType="solid">
        <fgColor rgb="FFE69F00"/>
        <bgColor indexed="64"/>
      </patternFill>
    </fill>
    <fill>
      <patternFill patternType="solid">
        <fgColor rgb="FFF0E442"/>
        <bgColor indexed="64"/>
      </patternFill>
    </fill>
    <fill>
      <patternFill patternType="solid">
        <fgColor theme="0" tint="-0.14996795556505021"/>
        <bgColor indexed="64"/>
      </patternFill>
    </fill>
    <fill>
      <patternFill patternType="solid">
        <fgColor theme="0"/>
        <bgColor indexed="64"/>
      </patternFill>
    </fill>
    <fill>
      <patternFill patternType="solid">
        <fgColor rgb="FF00B050"/>
        <bgColor indexed="64"/>
      </patternFill>
    </fill>
  </fills>
  <borders count="4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style="thick">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double">
        <color indexed="64"/>
      </bottom>
      <diagonal/>
    </border>
    <border>
      <left/>
      <right style="thin">
        <color indexed="64"/>
      </right>
      <top style="medium">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755">
    <xf numFmtId="0" fontId="0" fillId="0" borderId="0" xfId="0"/>
    <xf numFmtId="0" fontId="0" fillId="0" borderId="0" xfId="0" applyAlignment="1">
      <alignment horizontal="center"/>
    </xf>
    <xf numFmtId="0" fontId="0" fillId="0" borderId="1" xfId="0" quotePrefix="1" applyBorder="1" applyAlignment="1">
      <alignment horizontal="center"/>
    </xf>
    <xf numFmtId="164" fontId="0" fillId="0" borderId="2" xfId="0" applyNumberFormat="1" applyBorder="1" applyAlignment="1">
      <alignment horizontal="center"/>
    </xf>
    <xf numFmtId="0" fontId="3" fillId="0" borderId="0" xfId="0" applyFont="1" applyAlignment="1">
      <alignment horizontal="center"/>
    </xf>
    <xf numFmtId="0" fontId="0" fillId="0" borderId="3" xfId="0" quotePrefix="1" applyBorder="1" applyAlignment="1">
      <alignment horizontal="center"/>
    </xf>
    <xf numFmtId="0" fontId="6" fillId="0" borderId="0" xfId="0" applyFont="1"/>
    <xf numFmtId="49" fontId="6" fillId="0" borderId="0" xfId="0" applyNumberFormat="1" applyFont="1"/>
    <xf numFmtId="0" fontId="3" fillId="0" borderId="0" xfId="0" applyFont="1"/>
    <xf numFmtId="0" fontId="6" fillId="0" borderId="0" xfId="0" applyFont="1" applyAlignment="1">
      <alignment horizontal="center"/>
    </xf>
    <xf numFmtId="166" fontId="0" fillId="0" borderId="0" xfId="0" applyNumberFormat="1" applyFill="1" applyBorder="1" applyAlignment="1">
      <alignment horizontal="center"/>
    </xf>
    <xf numFmtId="0" fontId="3" fillId="0" borderId="4" xfId="0" applyFont="1" applyBorder="1" applyAlignment="1">
      <alignment horizontal="center"/>
    </xf>
    <xf numFmtId="2" fontId="0" fillId="0" borderId="2" xfId="0" applyNumberForma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0" fontId="0" fillId="0" borderId="0" xfId="0" applyBorder="1" applyAlignment="1">
      <alignment wrapText="1"/>
    </xf>
    <xf numFmtId="0" fontId="3" fillId="0" borderId="4" xfId="0" applyFont="1" applyFill="1" applyBorder="1" applyAlignment="1">
      <alignment horizontal="center"/>
    </xf>
    <xf numFmtId="0" fontId="0" fillId="0" borderId="0" xfId="0" applyAlignment="1">
      <alignment vertical="center"/>
    </xf>
    <xf numFmtId="0" fontId="3" fillId="0" borderId="2" xfId="0" applyFont="1" applyBorder="1" applyAlignment="1">
      <alignment horizontal="center" vertical="top" wrapText="1"/>
    </xf>
    <xf numFmtId="0" fontId="3" fillId="0" borderId="2" xfId="0" applyFont="1" applyBorder="1" applyAlignment="1">
      <alignment horizontal="center"/>
    </xf>
    <xf numFmtId="0" fontId="0" fillId="0" borderId="9" xfId="0" quotePrefix="1" applyBorder="1" applyAlignment="1">
      <alignment horizontal="center"/>
    </xf>
    <xf numFmtId="0" fontId="0" fillId="0" borderId="0" xfId="0" applyBorder="1"/>
    <xf numFmtId="0" fontId="0" fillId="0" borderId="11" xfId="0" applyBorder="1" applyAlignment="1"/>
    <xf numFmtId="0" fontId="0" fillId="0" borderId="0" xfId="0" applyBorder="1" applyAlignment="1">
      <alignment horizontal="center"/>
    </xf>
    <xf numFmtId="0" fontId="0" fillId="0" borderId="0" xfId="0" applyFill="1" applyBorder="1" applyAlignment="1">
      <alignment horizontal="center"/>
    </xf>
    <xf numFmtId="0" fontId="1" fillId="0" borderId="0" xfId="0" applyFont="1"/>
    <xf numFmtId="0" fontId="1" fillId="0" borderId="12" xfId="0" applyFont="1" applyBorder="1"/>
    <xf numFmtId="0" fontId="1" fillId="0" borderId="13" xfId="0" applyFont="1" applyBorder="1"/>
    <xf numFmtId="0" fontId="1" fillId="0" borderId="0" xfId="0" applyFont="1" applyAlignment="1">
      <alignment horizontal="center"/>
    </xf>
    <xf numFmtId="2" fontId="0" fillId="0" borderId="0" xfId="0" applyNumberFormat="1" applyFill="1" applyBorder="1" applyAlignment="1">
      <alignment horizontal="center"/>
    </xf>
    <xf numFmtId="0" fontId="0" fillId="0" borderId="0" xfId="0" applyFill="1" applyBorder="1" applyAlignment="1"/>
    <xf numFmtId="0" fontId="6" fillId="0" borderId="0" xfId="0" applyFont="1" applyFill="1" applyBorder="1" applyAlignment="1"/>
    <xf numFmtId="0" fontId="1" fillId="0" borderId="0" xfId="0" applyFont="1" applyFill="1" applyBorder="1" applyAlignment="1"/>
    <xf numFmtId="0" fontId="0" fillId="0" borderId="14" xfId="0" quotePrefix="1" applyBorder="1" applyAlignment="1">
      <alignment horizontal="center"/>
    </xf>
    <xf numFmtId="0" fontId="0" fillId="0" borderId="14" xfId="0" applyBorder="1" applyAlignment="1"/>
    <xf numFmtId="0" fontId="0" fillId="0" borderId="11" xfId="0" applyFill="1" applyBorder="1" applyAlignment="1">
      <alignment horizontal="center"/>
    </xf>
    <xf numFmtId="0" fontId="0" fillId="0" borderId="11" xfId="0" applyFill="1" applyBorder="1" applyAlignment="1"/>
    <xf numFmtId="0" fontId="6" fillId="0" borderId="0" xfId="0" applyFont="1" applyFill="1" applyBorder="1" applyAlignment="1">
      <alignment horizontal="center"/>
    </xf>
    <xf numFmtId="2" fontId="0" fillId="0" borderId="0" xfId="0" applyNumberFormat="1" applyFill="1" applyBorder="1" applyAlignment="1"/>
    <xf numFmtId="0" fontId="0" fillId="0" borderId="0" xfId="0" quotePrefix="1"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applyAlignment="1">
      <alignment horizont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0" fillId="0" borderId="0" xfId="0" quotePrefix="1" applyFill="1" applyBorder="1" applyAlignment="1">
      <alignment horizontal="center" vertical="top"/>
    </xf>
    <xf numFmtId="0" fontId="1" fillId="0" borderId="0" xfId="0" quotePrefix="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top"/>
    </xf>
    <xf numFmtId="0" fontId="1" fillId="0" borderId="1" xfId="0" quotePrefix="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0" fillId="0" borderId="0" xfId="0" applyFill="1" applyBorder="1" applyAlignment="1">
      <alignment horizontal="left"/>
    </xf>
    <xf numFmtId="0" fontId="3" fillId="0" borderId="0" xfId="0" applyFont="1" applyFill="1" applyBorder="1" applyAlignment="1">
      <alignment horizontal="center"/>
    </xf>
    <xf numFmtId="0" fontId="3" fillId="0" borderId="0" xfId="0" applyFont="1" applyBorder="1" applyAlignment="1">
      <alignment horizontal="left"/>
    </xf>
    <xf numFmtId="0" fontId="3" fillId="0"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alignment horizontal="left"/>
    </xf>
    <xf numFmtId="164" fontId="1" fillId="0" borderId="0" xfId="0" applyNumberFormat="1" applyFont="1" applyFill="1" applyBorder="1" applyAlignment="1">
      <alignment horizontal="center"/>
    </xf>
    <xf numFmtId="0" fontId="3" fillId="0" borderId="2" xfId="0" applyFont="1" applyFill="1" applyBorder="1" applyAlignment="1">
      <alignment horizontal="center"/>
    </xf>
    <xf numFmtId="164" fontId="0" fillId="0" borderId="15" xfId="0" applyNumberFormat="1" applyBorder="1" applyAlignment="1">
      <alignment horizontal="center"/>
    </xf>
    <xf numFmtId="164" fontId="0" fillId="0" borderId="5" xfId="0" applyNumberFormat="1" applyBorder="1" applyAlignment="1">
      <alignment horizontal="center"/>
    </xf>
    <xf numFmtId="0" fontId="3" fillId="0" borderId="0" xfId="0" applyFont="1" applyBorder="1" applyAlignment="1">
      <alignment horizontal="center" vertical="center"/>
    </xf>
    <xf numFmtId="2" fontId="1" fillId="0" borderId="0" xfId="0" applyNumberFormat="1" applyFont="1" applyFill="1" applyBorder="1" applyAlignment="1">
      <alignment horizontal="center"/>
    </xf>
    <xf numFmtId="0" fontId="1" fillId="0" borderId="0" xfId="0" applyFont="1" applyFill="1" applyBorder="1" applyAlignment="1">
      <alignment horizontal="center" vertical="center"/>
    </xf>
    <xf numFmtId="0" fontId="0" fillId="0" borderId="0" xfId="0" quotePrefix="1" applyFill="1" applyBorder="1" applyAlignment="1">
      <alignment horizontal="center" vertical="center"/>
    </xf>
    <xf numFmtId="2" fontId="1" fillId="0" borderId="2" xfId="0" applyNumberFormat="1" applyFont="1" applyFill="1" applyBorder="1" applyAlignment="1">
      <alignment horizontal="center"/>
    </xf>
    <xf numFmtId="164" fontId="0" fillId="0" borderId="2" xfId="0" applyNumberFormat="1" applyFill="1" applyBorder="1" applyAlignment="1">
      <alignment horizontal="center"/>
    </xf>
    <xf numFmtId="2" fontId="0" fillId="0" borderId="2" xfId="0" applyNumberFormat="1" applyFill="1" applyBorder="1" applyAlignment="1">
      <alignment horizontal="center"/>
    </xf>
    <xf numFmtId="164" fontId="0" fillId="0" borderId="4" xfId="0" applyNumberFormat="1" applyFill="1" applyBorder="1" applyAlignment="1">
      <alignment horizontal="center"/>
    </xf>
    <xf numFmtId="0" fontId="1" fillId="0" borderId="3" xfId="0" quotePrefix="1" applyFont="1" applyBorder="1" applyAlignment="1">
      <alignment horizontal="center"/>
    </xf>
    <xf numFmtId="2" fontId="1" fillId="0" borderId="0" xfId="0" applyNumberFormat="1" applyFont="1" applyFill="1" applyBorder="1" applyAlignment="1">
      <alignment horizontal="left"/>
    </xf>
    <xf numFmtId="0" fontId="0" fillId="0" borderId="0" xfId="0" applyBorder="1" applyAlignment="1">
      <alignment horizontal="left"/>
    </xf>
    <xf numFmtId="49" fontId="3" fillId="0" borderId="0" xfId="0" applyNumberFormat="1" applyFont="1" applyFill="1" applyBorder="1" applyAlignment="1">
      <alignment horizontal="center"/>
    </xf>
    <xf numFmtId="49" fontId="0" fillId="0" borderId="0" xfId="0" applyNumberFormat="1" applyFont="1" applyFill="1" applyBorder="1" applyAlignment="1"/>
    <xf numFmtId="49" fontId="3" fillId="0" borderId="0" xfId="0" applyNumberFormat="1" applyFont="1" applyFill="1" applyBorder="1" applyAlignment="1"/>
    <xf numFmtId="166" fontId="6" fillId="0" borderId="0" xfId="0" applyNumberFormat="1" applyFont="1" applyFill="1" applyBorder="1" applyAlignment="1">
      <alignment horizontal="center"/>
    </xf>
    <xf numFmtId="49" fontId="6" fillId="0" borderId="0" xfId="0" applyNumberFormat="1" applyFont="1" applyFill="1" applyBorder="1" applyAlignment="1"/>
    <xf numFmtId="166" fontId="3" fillId="0" borderId="0" xfId="0" applyNumberFormat="1" applyFont="1" applyFill="1" applyBorder="1" applyAlignment="1">
      <alignment horizontal="center" vertical="top"/>
    </xf>
    <xf numFmtId="0" fontId="3" fillId="0" borderId="0" xfId="0" applyFont="1" applyFill="1" applyBorder="1" applyAlignment="1">
      <alignment vertical="top"/>
    </xf>
    <xf numFmtId="164" fontId="6" fillId="0" borderId="2" xfId="0" applyNumberFormat="1" applyFon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0" fillId="0" borderId="0" xfId="0" applyFill="1" applyBorder="1" applyAlignment="1">
      <alignment vertical="top"/>
    </xf>
    <xf numFmtId="49" fontId="1"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2" fontId="2" fillId="0" borderId="0" xfId="0" applyNumberFormat="1" applyFont="1" applyFill="1" applyBorder="1" applyAlignment="1">
      <alignment horizontal="left"/>
    </xf>
    <xf numFmtId="2" fontId="3" fillId="0" borderId="0" xfId="0" applyNumberFormat="1" applyFont="1" applyFill="1" applyBorder="1" applyAlignment="1">
      <alignment horizontal="center" vertical="top"/>
    </xf>
    <xf numFmtId="0" fontId="0" fillId="0" borderId="0" xfId="0" applyFill="1" applyBorder="1" applyAlignment="1">
      <alignment vertical="center"/>
    </xf>
    <xf numFmtId="2" fontId="1" fillId="0" borderId="0" xfId="0" quotePrefix="1" applyNumberFormat="1" applyFont="1" applyFill="1" applyBorder="1" applyAlignment="1">
      <alignment horizontal="center" vertical="center"/>
    </xf>
    <xf numFmtId="2" fontId="0" fillId="0" borderId="4" xfId="0" applyNumberFormat="1" applyFill="1" applyBorder="1" applyAlignment="1">
      <alignment horizontal="center"/>
    </xf>
    <xf numFmtId="0" fontId="1" fillId="0" borderId="0" xfId="0" quotePrefix="1" applyFont="1" applyFill="1" applyBorder="1" applyAlignment="1">
      <alignment horizontal="center" vertical="center"/>
    </xf>
    <xf numFmtId="20" fontId="1" fillId="0" borderId="0" xfId="0" quotePrefix="1" applyNumberFormat="1" applyFont="1" applyAlignment="1">
      <alignment horizontal="center"/>
    </xf>
    <xf numFmtId="0" fontId="1" fillId="0" borderId="0" xfId="0" quotePrefix="1" applyFont="1" applyAlignment="1">
      <alignment horizontal="center"/>
    </xf>
    <xf numFmtId="164" fontId="6" fillId="0" borderId="5" xfId="0" applyNumberFormat="1" applyFont="1" applyFill="1" applyBorder="1" applyAlignment="1">
      <alignment horizontal="center"/>
    </xf>
    <xf numFmtId="0" fontId="2" fillId="0" borderId="0" xfId="0" applyFont="1" applyFill="1" applyBorder="1" applyAlignment="1">
      <alignment vertical="center"/>
    </xf>
    <xf numFmtId="0" fontId="1" fillId="0" borderId="0" xfId="0" applyFont="1" applyAlignment="1">
      <alignment vertical="center"/>
    </xf>
    <xf numFmtId="0" fontId="2" fillId="0" borderId="0" xfId="0" applyFont="1" applyFill="1" applyBorder="1" applyAlignment="1"/>
    <xf numFmtId="1" fontId="1" fillId="0" borderId="0" xfId="0" applyNumberFormat="1" applyFont="1" applyFill="1" applyBorder="1" applyAlignment="1"/>
    <xf numFmtId="164" fontId="0" fillId="0" borderId="17" xfId="0" applyNumberFormat="1" applyBorder="1" applyAlignment="1">
      <alignment horizontal="center"/>
    </xf>
    <xf numFmtId="164" fontId="0" fillId="0" borderId="0" xfId="0" applyNumberFormat="1" applyFill="1" applyBorder="1" applyAlignment="1">
      <alignment horizontal="center" vertical="top"/>
    </xf>
    <xf numFmtId="2" fontId="0" fillId="0" borderId="0" xfId="0" applyNumberFormat="1" applyFill="1" applyBorder="1" applyAlignment="1">
      <alignment horizontal="center" vertical="top"/>
    </xf>
    <xf numFmtId="164" fontId="6" fillId="0" borderId="2" xfId="0" applyNumberFormat="1" applyFont="1" applyFill="1" applyBorder="1" applyAlignment="1">
      <alignment horizontal="center"/>
    </xf>
    <xf numFmtId="1" fontId="1" fillId="0" borderId="0"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2" fontId="1" fillId="0" borderId="0" xfId="0" quotePrefix="1" applyNumberFormat="1" applyFont="1" applyFill="1" applyBorder="1" applyAlignment="1">
      <alignment horizontal="center" vertical="top"/>
    </xf>
    <xf numFmtId="0" fontId="5" fillId="0" borderId="0" xfId="0" applyFont="1" applyFill="1" applyBorder="1" applyAlignment="1">
      <alignment vertical="center"/>
    </xf>
    <xf numFmtId="0" fontId="1" fillId="0" borderId="18" xfId="0" quotePrefix="1" applyFont="1" applyFill="1" applyBorder="1" applyAlignment="1">
      <alignment horizontal="center"/>
    </xf>
    <xf numFmtId="164" fontId="0" fillId="0" borderId="17" xfId="0" applyNumberFormat="1" applyFill="1" applyBorder="1" applyAlignment="1">
      <alignment horizontal="center"/>
    </xf>
    <xf numFmtId="164" fontId="0" fillId="0" borderId="19" xfId="0" applyNumberFormat="1" applyFill="1" applyBorder="1" applyAlignment="1">
      <alignment horizontal="center"/>
    </xf>
    <xf numFmtId="0" fontId="1" fillId="0" borderId="2" xfId="0" quotePrefix="1" applyFont="1" applyFill="1" applyBorder="1" applyAlignment="1">
      <alignment horizontal="center"/>
    </xf>
    <xf numFmtId="0" fontId="1" fillId="0" borderId="0" xfId="0" applyFont="1" applyFill="1" applyBorder="1" applyAlignment="1">
      <alignment vertical="top"/>
    </xf>
    <xf numFmtId="167" fontId="0" fillId="0" borderId="2" xfId="0" applyNumberFormat="1" applyFill="1" applyBorder="1" applyAlignment="1">
      <alignment horizontal="center"/>
    </xf>
    <xf numFmtId="164" fontId="1" fillId="0" borderId="2" xfId="0" quotePrefix="1" applyNumberFormat="1" applyFont="1" applyFill="1" applyBorder="1" applyAlignment="1">
      <alignment horizontal="center"/>
    </xf>
    <xf numFmtId="167" fontId="0" fillId="0" borderId="17" xfId="0" applyNumberFormat="1" applyFill="1" applyBorder="1" applyAlignment="1">
      <alignment horizontal="center" vertical="center"/>
    </xf>
    <xf numFmtId="164" fontId="0" fillId="0" borderId="17" xfId="0" applyNumberFormat="1" applyFill="1" applyBorder="1" applyAlignment="1">
      <alignment horizontal="center" vertical="center"/>
    </xf>
    <xf numFmtId="167" fontId="1" fillId="0" borderId="17" xfId="0" quotePrefix="1" applyNumberFormat="1" applyFont="1" applyFill="1" applyBorder="1" applyAlignment="1">
      <alignment horizontal="center" vertical="center"/>
    </xf>
    <xf numFmtId="0" fontId="1" fillId="0" borderId="17" xfId="0" quotePrefix="1" applyFont="1" applyFill="1" applyBorder="1" applyAlignment="1">
      <alignment horizontal="center" vertical="center"/>
    </xf>
    <xf numFmtId="0" fontId="17" fillId="0" borderId="0" xfId="0" applyFont="1"/>
    <xf numFmtId="0" fontId="3" fillId="0" borderId="20" xfId="0" applyFont="1" applyBorder="1"/>
    <xf numFmtId="0" fontId="1" fillId="0" borderId="1" xfId="0" quotePrefix="1" applyFont="1"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center"/>
    </xf>
    <xf numFmtId="164" fontId="0" fillId="3" borderId="2" xfId="0" applyNumberFormat="1" applyFill="1" applyBorder="1" applyAlignment="1">
      <alignment horizontal="center"/>
    </xf>
    <xf numFmtId="164" fontId="0" fillId="3" borderId="4" xfId="0" applyNumberFormat="1" applyFill="1" applyBorder="1" applyAlignment="1">
      <alignment horizontal="center"/>
    </xf>
    <xf numFmtId="164" fontId="0" fillId="3" borderId="5" xfId="0" applyNumberFormat="1" applyFill="1" applyBorder="1" applyAlignment="1">
      <alignment horizontal="center"/>
    </xf>
    <xf numFmtId="164" fontId="0" fillId="3" borderId="6" xfId="0" applyNumberFormat="1" applyFill="1" applyBorder="1" applyAlignment="1">
      <alignment horizontal="center"/>
    </xf>
    <xf numFmtId="164" fontId="0" fillId="3" borderId="17" xfId="0" applyNumberFormat="1" applyFill="1" applyBorder="1" applyAlignment="1">
      <alignment horizontal="center"/>
    </xf>
    <xf numFmtId="164" fontId="0" fillId="3" borderId="19" xfId="0" applyNumberFormat="1" applyFill="1" applyBorder="1" applyAlignment="1">
      <alignment horizontal="center"/>
    </xf>
    <xf numFmtId="164" fontId="0" fillId="3" borderId="5" xfId="0" applyNumberFormat="1" applyFill="1" applyBorder="1" applyAlignment="1">
      <alignment horizontal="center"/>
    </xf>
    <xf numFmtId="164" fontId="0" fillId="3" borderId="6" xfId="0" applyNumberFormat="1" applyFill="1" applyBorder="1" applyAlignment="1">
      <alignment horizontal="center"/>
    </xf>
    <xf numFmtId="0" fontId="1" fillId="2" borderId="4" xfId="0" applyFont="1" applyFill="1" applyBorder="1" applyAlignment="1">
      <alignment horizontal="center"/>
    </xf>
    <xf numFmtId="164" fontId="6" fillId="3" borderId="2" xfId="0" applyNumberFormat="1" applyFont="1" applyFill="1" applyBorder="1" applyAlignment="1">
      <alignment horizontal="center"/>
    </xf>
    <xf numFmtId="164" fontId="0" fillId="3" borderId="15" xfId="0" applyNumberFormat="1" applyFill="1" applyBorder="1" applyAlignment="1">
      <alignment horizontal="center"/>
    </xf>
    <xf numFmtId="1" fontId="0" fillId="4" borderId="17" xfId="0" applyNumberFormat="1" applyFill="1" applyBorder="1" applyAlignment="1">
      <alignment horizontal="center" vertical="center"/>
    </xf>
    <xf numFmtId="0" fontId="0" fillId="4" borderId="15" xfId="0" applyFill="1" applyBorder="1"/>
    <xf numFmtId="0" fontId="0" fillId="4" borderId="3" xfId="0" applyFill="1" applyBorder="1"/>
    <xf numFmtId="0" fontId="0" fillId="2" borderId="15" xfId="0" applyFill="1" applyBorder="1"/>
    <xf numFmtId="0" fontId="0" fillId="2" borderId="3" xfId="0" applyFill="1" applyBorder="1"/>
    <xf numFmtId="0" fontId="0" fillId="3" borderId="15" xfId="0" applyFill="1" applyBorder="1"/>
    <xf numFmtId="0" fontId="0" fillId="3" borderId="3" xfId="0" applyFill="1" applyBorder="1"/>
    <xf numFmtId="0" fontId="3" fillId="0" borderId="0" xfId="0" applyFont="1" applyBorder="1" applyAlignment="1">
      <alignment horizontal="center" wrapText="1"/>
    </xf>
    <xf numFmtId="20" fontId="1" fillId="0" borderId="21" xfId="0" quotePrefix="1" applyNumberFormat="1" applyFont="1" applyBorder="1"/>
    <xf numFmtId="20" fontId="1" fillId="0" borderId="18" xfId="0" quotePrefix="1" applyNumberFormat="1" applyFont="1" applyBorder="1"/>
    <xf numFmtId="2" fontId="0" fillId="0" borderId="12" xfId="0" applyNumberFormat="1" applyBorder="1" applyAlignment="1">
      <alignment horizontal="center"/>
    </xf>
    <xf numFmtId="164" fontId="0" fillId="0" borderId="19" xfId="0" applyNumberFormat="1" applyFill="1" applyBorder="1" applyAlignment="1">
      <alignment horizontal="center" vertical="center"/>
    </xf>
    <xf numFmtId="0" fontId="1" fillId="5" borderId="22" xfId="0" applyFont="1" applyFill="1" applyBorder="1" applyAlignment="1">
      <alignment horizontal="right"/>
    </xf>
    <xf numFmtId="3" fontId="0" fillId="5" borderId="23" xfId="0" applyNumberFormat="1" applyFill="1" applyBorder="1" applyAlignment="1">
      <alignment horizontal="center"/>
    </xf>
    <xf numFmtId="0" fontId="1" fillId="5" borderId="24" xfId="0" applyFont="1" applyFill="1" applyBorder="1" applyAlignment="1">
      <alignment horizontal="left"/>
    </xf>
    <xf numFmtId="3" fontId="0" fillId="0" borderId="0" xfId="0" applyNumberFormat="1" applyFill="1" applyBorder="1" applyAlignment="1"/>
    <xf numFmtId="0" fontId="18" fillId="0" borderId="0" xfId="0" applyFont="1"/>
    <xf numFmtId="0" fontId="19" fillId="0" borderId="0" xfId="0" applyFont="1"/>
    <xf numFmtId="0" fontId="20" fillId="0" borderId="0" xfId="0" applyFont="1" applyFill="1" applyBorder="1" applyAlignment="1"/>
    <xf numFmtId="167" fontId="0" fillId="0" borderId="15" xfId="0" applyNumberFormat="1" applyFill="1" applyBorder="1" applyAlignment="1">
      <alignment horizontal="center"/>
    </xf>
    <xf numFmtId="164" fontId="0" fillId="0" borderId="16" xfId="0" applyNumberFormat="1" applyFill="1" applyBorder="1" applyAlignment="1">
      <alignment horizontal="center"/>
    </xf>
    <xf numFmtId="164" fontId="0" fillId="0" borderId="25" xfId="0" applyNumberFormat="1" applyFill="1" applyBorder="1" applyAlignment="1">
      <alignment horizontal="center"/>
    </xf>
    <xf numFmtId="167" fontId="0" fillId="0" borderId="25" xfId="0" applyNumberFormat="1" applyFill="1" applyBorder="1" applyAlignment="1">
      <alignment horizontal="center"/>
    </xf>
    <xf numFmtId="164" fontId="0" fillId="0" borderId="26" xfId="0" applyNumberFormat="1" applyFill="1" applyBorder="1" applyAlignment="1">
      <alignment horizontal="center"/>
    </xf>
    <xf numFmtId="164" fontId="0" fillId="0" borderId="27" xfId="0" applyNumberFormat="1" applyFill="1" applyBorder="1" applyAlignment="1">
      <alignment horizontal="center"/>
    </xf>
    <xf numFmtId="167" fontId="0" fillId="0" borderId="27" xfId="0" applyNumberFormat="1" applyFill="1" applyBorder="1" applyAlignment="1">
      <alignment horizontal="center"/>
    </xf>
    <xf numFmtId="164" fontId="0" fillId="0" borderId="28" xfId="0" applyNumberFormat="1" applyFill="1" applyBorder="1" applyAlignment="1">
      <alignment horizontal="center"/>
    </xf>
    <xf numFmtId="0" fontId="1" fillId="0" borderId="15" xfId="0" quotePrefix="1" applyFont="1" applyFill="1" applyBorder="1" applyAlignment="1">
      <alignment horizontal="center"/>
    </xf>
    <xf numFmtId="0" fontId="1" fillId="0" borderId="27" xfId="0" quotePrefix="1" applyFont="1" applyFill="1" applyBorder="1" applyAlignment="1">
      <alignment horizontal="center"/>
    </xf>
    <xf numFmtId="0" fontId="0" fillId="0" borderId="27" xfId="0" applyFill="1" applyBorder="1" applyAlignment="1">
      <alignment horizontal="center"/>
    </xf>
    <xf numFmtId="0" fontId="0" fillId="0" borderId="27" xfId="0" applyFill="1" applyBorder="1" applyAlignment="1"/>
    <xf numFmtId="0" fontId="1" fillId="0" borderId="28" xfId="0" quotePrefix="1" applyFont="1" applyFill="1" applyBorder="1" applyAlignment="1">
      <alignment horizontal="center"/>
    </xf>
    <xf numFmtId="0" fontId="1" fillId="0" borderId="25" xfId="0" quotePrefix="1" applyFont="1" applyFill="1" applyBorder="1" applyAlignment="1">
      <alignment horizontal="center"/>
    </xf>
    <xf numFmtId="164" fontId="0" fillId="0" borderId="25" xfId="0" applyNumberFormat="1" applyFill="1" applyBorder="1" applyAlignment="1"/>
    <xf numFmtId="0" fontId="1" fillId="0" borderId="26" xfId="0" quotePrefix="1" applyFont="1" applyFill="1" applyBorder="1" applyAlignment="1">
      <alignment horizontal="center"/>
    </xf>
    <xf numFmtId="2" fontId="1" fillId="0" borderId="2" xfId="0" applyNumberFormat="1" applyFont="1" applyFill="1" applyBorder="1" applyAlignment="1">
      <alignment horizontal="center" vertical="center"/>
    </xf>
    <xf numFmtId="0" fontId="0" fillId="0" borderId="8"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1" fillId="5" borderId="22" xfId="0" applyFont="1" applyFill="1" applyBorder="1" applyAlignment="1">
      <alignment horizontal="right" vertical="center"/>
    </xf>
    <xf numFmtId="3" fontId="0" fillId="5" borderId="23" xfId="0" applyNumberFormat="1" applyFill="1" applyBorder="1" applyAlignment="1">
      <alignment horizontal="center" vertical="center"/>
    </xf>
    <xf numFmtId="0" fontId="1" fillId="5" borderId="24" xfId="0" applyFont="1" applyFill="1" applyBorder="1" applyAlignment="1">
      <alignment horizontal="left" vertical="center"/>
    </xf>
    <xf numFmtId="3" fontId="0" fillId="0" borderId="0" xfId="0" applyNumberFormat="1" applyFill="1" applyBorder="1" applyAlignment="1">
      <alignment vertical="center"/>
    </xf>
    <xf numFmtId="0" fontId="0" fillId="0" borderId="14" xfId="0" applyFill="1" applyBorder="1" applyAlignment="1">
      <alignment horizontal="center" vertical="center"/>
    </xf>
    <xf numFmtId="0" fontId="0" fillId="0" borderId="14" xfId="0" applyFill="1" applyBorder="1" applyAlignment="1">
      <alignment vertical="center"/>
    </xf>
    <xf numFmtId="0" fontId="17" fillId="0" borderId="0" xfId="0" applyFont="1" applyAlignment="1">
      <alignment vertical="center"/>
    </xf>
    <xf numFmtId="2" fontId="0" fillId="0" borderId="2" xfId="0" applyNumberFormat="1" applyFill="1" applyBorder="1" applyAlignment="1">
      <alignment horizontal="center" vertical="center"/>
    </xf>
    <xf numFmtId="0" fontId="3" fillId="0" borderId="0" xfId="0" applyFont="1" applyFill="1" applyBorder="1" applyAlignment="1">
      <alignment vertical="center"/>
    </xf>
    <xf numFmtId="0" fontId="6" fillId="0" borderId="0" xfId="0" applyFont="1" applyFill="1" applyBorder="1" applyAlignment="1">
      <alignment horizontal="center" vertical="center"/>
    </xf>
    <xf numFmtId="2" fontId="0" fillId="0" borderId="0" xfId="0" applyNumberForma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2" fontId="0" fillId="0" borderId="2" xfId="0" applyNumberFormat="1" applyBorder="1" applyAlignment="1">
      <alignment horizontal="center" vertical="center"/>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2" fontId="0" fillId="0" borderId="6" xfId="0" applyNumberFormat="1" applyBorder="1" applyAlignment="1">
      <alignment horizontal="center" vertical="center"/>
    </xf>
    <xf numFmtId="0" fontId="0" fillId="0" borderId="1" xfId="0" quotePrefix="1" applyBorder="1" applyAlignment="1">
      <alignment horizontal="center" vertical="center"/>
    </xf>
    <xf numFmtId="49" fontId="0" fillId="0" borderId="0" xfId="0" applyNumberFormat="1" applyFont="1" applyFill="1" applyBorder="1" applyAlignment="1">
      <alignment vertical="center"/>
    </xf>
    <xf numFmtId="166" fontId="0" fillId="0" borderId="0" xfId="0" applyNumberFormat="1" applyFill="1" applyBorder="1" applyAlignment="1">
      <alignment horizontal="center" vertical="center"/>
    </xf>
    <xf numFmtId="164" fontId="0" fillId="0" borderId="2" xfId="0" applyNumberFormat="1" applyFill="1" applyBorder="1" applyAlignment="1">
      <alignment horizontal="center" vertical="center"/>
    </xf>
    <xf numFmtId="0" fontId="6" fillId="0" borderId="0" xfId="0" applyFont="1" applyFill="1" applyBorder="1" applyAlignment="1">
      <alignment vertical="center"/>
    </xf>
    <xf numFmtId="2"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0" fillId="0" borderId="3" xfId="0" quotePrefix="1" applyBorder="1" applyAlignment="1">
      <alignment horizontal="center" vertical="center"/>
    </xf>
    <xf numFmtId="0" fontId="1" fillId="0" borderId="3" xfId="0" quotePrefix="1" applyFont="1" applyBorder="1" applyAlignment="1">
      <alignment horizontal="center" vertical="center"/>
    </xf>
    <xf numFmtId="0" fontId="0" fillId="0" borderId="0" xfId="0" applyBorder="1" applyAlignment="1">
      <alignment vertical="center"/>
    </xf>
    <xf numFmtId="0" fontId="1" fillId="0" borderId="0" xfId="0" applyFont="1" applyFill="1" applyBorder="1" applyAlignment="1">
      <alignment vertical="center"/>
    </xf>
    <xf numFmtId="0" fontId="0" fillId="0" borderId="0" xfId="0" quotePrefix="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166" fontId="6"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xf numFmtId="164" fontId="0" fillId="0" borderId="4" xfId="0" applyNumberFormat="1" applyFill="1" applyBorder="1" applyAlignment="1">
      <alignment horizontal="center"/>
    </xf>
    <xf numFmtId="0" fontId="0" fillId="0" borderId="0" xfId="0" applyAlignment="1">
      <alignment vertical="top" wrapText="1"/>
    </xf>
    <xf numFmtId="164" fontId="0" fillId="4" borderId="2" xfId="0" quotePrefix="1" applyNumberFormat="1" applyFill="1" applyBorder="1" applyAlignment="1">
      <alignment horizontal="center"/>
    </xf>
    <xf numFmtId="164" fontId="0" fillId="4" borderId="2" xfId="0" applyNumberFormat="1" applyFill="1" applyBorder="1" applyAlignment="1">
      <alignment horizontal="center"/>
    </xf>
    <xf numFmtId="164" fontId="6" fillId="4" borderId="2" xfId="0" applyNumberFormat="1" applyFont="1" applyFill="1" applyBorder="1" applyAlignment="1">
      <alignment horizontal="center"/>
    </xf>
    <xf numFmtId="164" fontId="1" fillId="4" borderId="2" xfId="0" applyNumberFormat="1" applyFont="1" applyFill="1" applyBorder="1" applyAlignment="1">
      <alignment horizontal="center"/>
    </xf>
    <xf numFmtId="164" fontId="0" fillId="4" borderId="15" xfId="0" quotePrefix="1" applyNumberFormat="1" applyFill="1" applyBorder="1" applyAlignment="1">
      <alignment horizontal="center"/>
    </xf>
    <xf numFmtId="164" fontId="0" fillId="6" borderId="27" xfId="0" quotePrefix="1" applyNumberFormat="1" applyFill="1" applyBorder="1" applyAlignment="1">
      <alignment horizontal="center"/>
    </xf>
    <xf numFmtId="164" fontId="0" fillId="4" borderId="15" xfId="0" applyNumberFormat="1" applyFill="1" applyBorder="1" applyAlignment="1">
      <alignment horizontal="center"/>
    </xf>
    <xf numFmtId="164" fontId="0" fillId="6" borderId="25" xfId="0" applyNumberFormat="1" applyFill="1" applyBorder="1" applyAlignment="1">
      <alignment horizontal="center"/>
    </xf>
    <xf numFmtId="0" fontId="1" fillId="0" borderId="0" xfId="0" applyFont="1" applyFill="1"/>
    <xf numFmtId="0" fontId="21" fillId="0" borderId="0" xfId="1"/>
    <xf numFmtId="0" fontId="0" fillId="0" borderId="0" xfId="0" applyAlignment="1">
      <alignment horizontal="left" vertical="top" wrapText="1"/>
    </xf>
    <xf numFmtId="0" fontId="1" fillId="0" borderId="0" xfId="0" applyFont="1" applyAlignment="1">
      <alignment horizontal="left" vertical="top" wrapText="1"/>
    </xf>
    <xf numFmtId="0" fontId="0" fillId="0" borderId="43" xfId="0" applyBorder="1" applyAlignment="1">
      <alignment horizontal="left" wrapText="1"/>
    </xf>
    <xf numFmtId="0" fontId="0" fillId="0" borderId="20" xfId="0" applyBorder="1" applyAlignment="1">
      <alignment horizontal="left" wrapText="1"/>
    </xf>
    <xf numFmtId="0" fontId="1" fillId="0" borderId="20" xfId="0" applyFont="1" applyBorder="1" applyAlignment="1">
      <alignment horizontal="left" wrapText="1"/>
    </xf>
    <xf numFmtId="0" fontId="0" fillId="0" borderId="10" xfId="0" applyBorder="1" applyAlignment="1">
      <alignment horizontal="left" wrapText="1"/>
    </xf>
    <xf numFmtId="0" fontId="0" fillId="0" borderId="42" xfId="0" applyBorder="1" applyAlignment="1">
      <alignment horizontal="left" wrapText="1"/>
    </xf>
    <xf numFmtId="0" fontId="0" fillId="0" borderId="0" xfId="0" applyBorder="1" applyAlignment="1">
      <alignment horizontal="left" wrapText="1"/>
    </xf>
    <xf numFmtId="0" fontId="1" fillId="0" borderId="0" xfId="0" applyFont="1" applyBorder="1" applyAlignment="1">
      <alignment horizontal="left" wrapText="1"/>
    </xf>
    <xf numFmtId="0" fontId="0" fillId="0" borderId="7" xfId="0" applyBorder="1" applyAlignment="1">
      <alignment horizontal="left" wrapText="1"/>
    </xf>
    <xf numFmtId="0" fontId="1" fillId="0" borderId="42" xfId="0" applyFont="1" applyBorder="1" applyAlignment="1">
      <alignment horizontal="left" wrapText="1"/>
    </xf>
    <xf numFmtId="0" fontId="3" fillId="0" borderId="0" xfId="0" applyFont="1" applyAlignment="1">
      <alignment horizontal="center"/>
    </xf>
    <xf numFmtId="0" fontId="1" fillId="0" borderId="0" xfId="0" applyFont="1" applyAlignment="1">
      <alignment horizontal="center"/>
    </xf>
    <xf numFmtId="0" fontId="1" fillId="0" borderId="16" xfId="0" applyFont="1" applyBorder="1" applyAlignment="1">
      <alignment horizontal="left" wrapText="1"/>
    </xf>
    <xf numFmtId="0" fontId="0" fillId="0" borderId="11" xfId="0" applyBorder="1" applyAlignment="1">
      <alignment horizontal="left" wrapText="1"/>
    </xf>
    <xf numFmtId="0" fontId="1" fillId="0" borderId="11" xfId="0" applyFont="1" applyBorder="1" applyAlignment="1">
      <alignment horizontal="left" wrapText="1"/>
    </xf>
    <xf numFmtId="0" fontId="0" fillId="0" borderId="8" xfId="0" applyBorder="1" applyAlignment="1">
      <alignment horizontal="left" wrapText="1"/>
    </xf>
    <xf numFmtId="0" fontId="6" fillId="0" borderId="29" xfId="0" applyFont="1" applyBorder="1" applyAlignment="1">
      <alignment horizontal="center" vertical="center"/>
    </xf>
    <xf numFmtId="0" fontId="0" fillId="0" borderId="12" xfId="0" applyBorder="1" applyAlignment="1">
      <alignment horizontal="center" vertical="center"/>
    </xf>
    <xf numFmtId="0" fontId="2" fillId="0" borderId="30" xfId="0" applyFont="1" applyBorder="1" applyAlignment="1">
      <alignment vertical="center" wrapText="1"/>
    </xf>
    <xf numFmtId="0" fontId="0" fillId="0" borderId="30" xfId="0" applyBorder="1" applyAlignment="1">
      <alignment vertical="center" wrapText="1"/>
    </xf>
    <xf numFmtId="0" fontId="0" fillId="0" borderId="0" xfId="0" applyAlignment="1">
      <alignmen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1" xfId="0" applyFont="1" applyBorder="1" applyAlignment="1">
      <alignment vertical="center"/>
    </xf>
    <xf numFmtId="0" fontId="3" fillId="0" borderId="1" xfId="0" applyFont="1" applyBorder="1" applyAlignment="1">
      <alignment vertical="center"/>
    </xf>
    <xf numFmtId="0" fontId="3" fillId="0" borderId="12"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0" fillId="0" borderId="29" xfId="0" applyBorder="1" applyAlignment="1">
      <alignment horizontal="center" vertical="center"/>
    </xf>
    <xf numFmtId="0" fontId="0" fillId="0" borderId="2" xfId="0" applyBorder="1" applyAlignment="1">
      <alignment horizontal="center" vertical="center"/>
    </xf>
    <xf numFmtId="0" fontId="6" fillId="0" borderId="32"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left" vertical="center"/>
    </xf>
    <xf numFmtId="0" fontId="0" fillId="0" borderId="2" xfId="0" applyBorder="1" applyAlignment="1">
      <alignment horizontal="left" vertical="center"/>
    </xf>
    <xf numFmtId="166" fontId="0" fillId="7" borderId="2" xfId="0" applyNumberFormat="1" applyFill="1" applyBorder="1" applyAlignment="1">
      <alignment horizontal="center" vertical="center"/>
    </xf>
    <xf numFmtId="0" fontId="1" fillId="0" borderId="12" xfId="0" applyFont="1" applyBorder="1" applyAlignment="1">
      <alignment horizontal="left" vertical="center"/>
    </xf>
    <xf numFmtId="2" fontId="1" fillId="0" borderId="2" xfId="0" applyNumberFormat="1" applyFont="1" applyFill="1" applyBorder="1" applyAlignment="1">
      <alignment horizontal="center" vertical="center"/>
    </xf>
    <xf numFmtId="0" fontId="0" fillId="0" borderId="4" xfId="0" applyBorder="1" applyAlignment="1">
      <alignment horizontal="center" vertical="center"/>
    </xf>
    <xf numFmtId="2" fontId="1" fillId="0" borderId="12" xfId="0" applyNumberFormat="1" applyFont="1" applyFill="1" applyBorder="1" applyAlignment="1">
      <alignment horizontal="left" vertical="center"/>
    </xf>
    <xf numFmtId="0" fontId="0" fillId="0" borderId="2" xfId="0" applyBorder="1" applyAlignment="1">
      <alignment vertical="center"/>
    </xf>
    <xf numFmtId="164" fontId="0" fillId="0" borderId="4" xfId="0" applyNumberFormat="1" applyFill="1" applyBorder="1" applyAlignment="1">
      <alignment horizontal="center" vertical="center"/>
    </xf>
    <xf numFmtId="164" fontId="0" fillId="0" borderId="12" xfId="0" applyNumberFormat="1" applyFill="1" applyBorder="1" applyAlignment="1">
      <alignment horizontal="center" vertical="center"/>
    </xf>
    <xf numFmtId="164" fontId="0" fillId="0" borderId="29" xfId="0" applyNumberFormat="1" applyBorder="1" applyAlignment="1">
      <alignment horizontal="center" vertical="center"/>
    </xf>
    <xf numFmtId="2" fontId="1" fillId="0" borderId="13" xfId="0" applyNumberFormat="1" applyFont="1" applyFill="1" applyBorder="1" applyAlignment="1">
      <alignment horizontal="left" vertical="center"/>
    </xf>
    <xf numFmtId="0" fontId="0" fillId="0" borderId="5" xfId="0" applyBorder="1" applyAlignment="1">
      <alignment vertical="center"/>
    </xf>
    <xf numFmtId="2" fontId="2" fillId="0" borderId="30" xfId="0" applyNumberFormat="1" applyFont="1" applyFill="1" applyBorder="1" applyAlignment="1">
      <alignment horizontal="left" vertical="center"/>
    </xf>
    <xf numFmtId="0" fontId="0" fillId="0" borderId="30" xfId="0" applyBorder="1" applyAlignment="1">
      <alignment horizontal="left" vertical="center"/>
    </xf>
    <xf numFmtId="0" fontId="3" fillId="0" borderId="33" xfId="0" applyFont="1" applyBorder="1" applyAlignment="1">
      <alignment horizontal="center" vertical="center"/>
    </xf>
    <xf numFmtId="0" fontId="1" fillId="0" borderId="21" xfId="0" quotePrefix="1" applyFont="1" applyFill="1" applyBorder="1" applyAlignment="1">
      <alignment horizontal="center" vertical="center"/>
    </xf>
    <xf numFmtId="0" fontId="0" fillId="0" borderId="1" xfId="0" applyBorder="1" applyAlignment="1">
      <alignment horizontal="center" vertical="center"/>
    </xf>
    <xf numFmtId="0" fontId="1" fillId="7" borderId="1" xfId="0" quotePrefix="1" applyFont="1" applyFill="1" applyBorder="1" applyAlignment="1">
      <alignment horizontal="center" vertical="center"/>
    </xf>
    <xf numFmtId="0" fontId="0" fillId="7" borderId="1" xfId="0" applyFill="1" applyBorder="1" applyAlignment="1">
      <alignment horizontal="center" vertical="center"/>
    </xf>
    <xf numFmtId="166" fontId="0" fillId="0" borderId="2" xfId="0" applyNumberFormat="1" applyFill="1" applyBorder="1" applyAlignment="1">
      <alignment horizontal="center" vertical="center"/>
    </xf>
    <xf numFmtId="166" fontId="0" fillId="0" borderId="2" xfId="0" applyNumberFormat="1" applyBorder="1" applyAlignment="1">
      <alignment horizontal="center" vertical="center"/>
    </xf>
    <xf numFmtId="166" fontId="0" fillId="0" borderId="4" xfId="0" applyNumberFormat="1" applyBorder="1" applyAlignment="1">
      <alignment horizontal="center" vertical="center"/>
    </xf>
    <xf numFmtId="164" fontId="1" fillId="0" borderId="1" xfId="0" quotePrefix="1" applyNumberFormat="1" applyFont="1" applyFill="1" applyBorder="1" applyAlignment="1">
      <alignment horizontal="center" vertical="center"/>
    </xf>
    <xf numFmtId="0" fontId="1" fillId="0" borderId="1" xfId="0" quotePrefix="1" applyFont="1" applyFill="1" applyBorder="1" applyAlignment="1">
      <alignment horizontal="center" vertical="center"/>
    </xf>
    <xf numFmtId="0" fontId="0" fillId="0" borderId="18" xfId="0" applyBorder="1" applyAlignment="1">
      <alignment horizontal="center" vertical="center"/>
    </xf>
    <xf numFmtId="0" fontId="3" fillId="0" borderId="12" xfId="0" applyFont="1" applyFill="1" applyBorder="1" applyAlignment="1">
      <alignment vertical="center"/>
    </xf>
    <xf numFmtId="0" fontId="0" fillId="0" borderId="12" xfId="0" applyBorder="1" applyAlignment="1">
      <alignment vertical="center"/>
    </xf>
    <xf numFmtId="0" fontId="3" fillId="7" borderId="2" xfId="0" applyFont="1" applyFill="1" applyBorder="1" applyAlignment="1">
      <alignment horizontal="center" vertical="center"/>
    </xf>
    <xf numFmtId="0" fontId="0" fillId="7" borderId="2" xfId="0" applyFill="1" applyBorder="1" applyAlignment="1">
      <alignment vertical="center"/>
    </xf>
    <xf numFmtId="164" fontId="3" fillId="0"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4" xfId="0" applyFont="1" applyBorder="1" applyAlignment="1">
      <alignment horizontal="center" vertical="center"/>
    </xf>
    <xf numFmtId="0" fontId="1" fillId="7" borderId="2" xfId="0" quotePrefix="1" applyFont="1" applyFill="1" applyBorder="1" applyAlignment="1">
      <alignment horizontal="center" vertical="center"/>
    </xf>
    <xf numFmtId="0" fontId="0" fillId="7" borderId="2" xfId="0" applyFill="1" applyBorder="1" applyAlignment="1">
      <alignment horizontal="center" vertical="center"/>
    </xf>
    <xf numFmtId="0" fontId="0" fillId="0" borderId="13" xfId="0" applyBorder="1" applyAlignment="1">
      <alignment horizontal="left" vertical="center"/>
    </xf>
    <xf numFmtId="0" fontId="0" fillId="0" borderId="5" xfId="0" applyBorder="1" applyAlignment="1">
      <alignment horizontal="left" vertical="center"/>
    </xf>
    <xf numFmtId="166" fontId="0" fillId="7" borderId="5" xfId="0" applyNumberFormat="1" applyFill="1" applyBorder="1" applyAlignment="1">
      <alignment horizontal="center" vertical="center"/>
    </xf>
    <xf numFmtId="0" fontId="1" fillId="0" borderId="2" xfId="0" quotePrefix="1" applyFont="1" applyFill="1" applyBorder="1" applyAlignment="1">
      <alignment horizontal="center" vertical="center"/>
    </xf>
    <xf numFmtId="0" fontId="1" fillId="0" borderId="2" xfId="0" applyFont="1" applyBorder="1" applyAlignment="1">
      <alignment horizontal="center" vertical="center" wrapText="1"/>
    </xf>
    <xf numFmtId="0" fontId="1" fillId="0" borderId="2" xfId="0" quotePrefix="1" applyFont="1" applyBorder="1" applyAlignment="1">
      <alignment horizontal="center" vertical="center" wrapText="1"/>
    </xf>
    <xf numFmtId="0" fontId="0" fillId="0" borderId="2" xfId="0" quotePrefix="1" applyBorder="1" applyAlignment="1">
      <alignment horizontal="center" vertical="center" wrapText="1"/>
    </xf>
    <xf numFmtId="0" fontId="0" fillId="0" borderId="4" xfId="0" quotePrefix="1" applyBorder="1" applyAlignment="1">
      <alignment horizontal="center" vertical="center" wrapText="1"/>
    </xf>
    <xf numFmtId="0" fontId="3" fillId="0" borderId="2" xfId="0" applyFont="1" applyBorder="1" applyAlignment="1">
      <alignment horizontal="center" vertical="center" wrapText="1"/>
    </xf>
    <xf numFmtId="2" fontId="0" fillId="0" borderId="12" xfId="0" applyNumberFormat="1" applyFill="1" applyBorder="1" applyAlignment="1">
      <alignment horizontal="center" vertical="center"/>
    </xf>
    <xf numFmtId="2" fontId="0" fillId="0" borderId="2" xfId="0" applyNumberFormat="1" applyFill="1" applyBorder="1" applyAlignment="1">
      <alignment horizontal="center" vertical="center"/>
    </xf>
    <xf numFmtId="0" fontId="1" fillId="0" borderId="2" xfId="0" quotePrefix="1" applyFont="1" applyBorder="1" applyAlignment="1">
      <alignment horizontal="center" vertical="center"/>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164" fontId="0" fillId="7" borderId="4" xfId="0" applyNumberFormat="1" applyFill="1" applyBorder="1" applyAlignment="1">
      <alignment horizontal="center" vertical="center"/>
    </xf>
    <xf numFmtId="164" fontId="0" fillId="7" borderId="12" xfId="0" applyNumberFormat="1" applyFill="1" applyBorder="1" applyAlignment="1">
      <alignment horizontal="center" vertical="center"/>
    </xf>
    <xf numFmtId="2" fontId="0" fillId="0" borderId="4" xfId="0" applyNumberFormat="1" applyFill="1" applyBorder="1" applyAlignment="1">
      <alignment horizontal="center" vertical="center"/>
    </xf>
    <xf numFmtId="164" fontId="0" fillId="7" borderId="29" xfId="0" applyNumberFormat="1" applyFill="1" applyBorder="1" applyAlignment="1">
      <alignment horizontal="center" vertical="center"/>
    </xf>
    <xf numFmtId="164" fontId="0" fillId="7" borderId="6" xfId="0" applyNumberFormat="1" applyFill="1" applyBorder="1" applyAlignment="1">
      <alignment horizontal="center" vertical="center"/>
    </xf>
    <xf numFmtId="164" fontId="0" fillId="7" borderId="32" xfId="0" applyNumberFormat="1" applyFill="1" applyBorder="1" applyAlignment="1">
      <alignment horizontal="center" vertical="center"/>
    </xf>
    <xf numFmtId="2" fontId="1" fillId="0" borderId="16" xfId="0" quotePrefix="1" applyNumberFormat="1" applyFont="1" applyFill="1" applyBorder="1" applyAlignment="1">
      <alignment horizontal="center" vertical="center"/>
    </xf>
    <xf numFmtId="0" fontId="0" fillId="0" borderId="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2" fontId="1" fillId="0" borderId="2" xfId="0" quotePrefix="1" applyNumberFormat="1" applyFont="1" applyFill="1" applyBorder="1" applyAlignment="1">
      <alignment horizontal="center" vertical="center"/>
    </xf>
    <xf numFmtId="0" fontId="0" fillId="0" borderId="5" xfId="0" applyBorder="1" applyAlignment="1">
      <alignment horizontal="center" vertical="center"/>
    </xf>
    <xf numFmtId="2" fontId="1" fillId="7" borderId="2" xfId="0" applyNumberFormat="1" applyFont="1" applyFill="1" applyBorder="1" applyAlignment="1">
      <alignment horizontal="center" vertical="center"/>
    </xf>
    <xf numFmtId="0" fontId="0" fillId="7" borderId="4" xfId="0" applyFill="1" applyBorder="1" applyAlignment="1">
      <alignment horizontal="center" vertical="center"/>
    </xf>
    <xf numFmtId="0" fontId="0" fillId="0" borderId="12" xfId="0" applyBorder="1" applyAlignment="1">
      <alignment vertical="center" wrapText="1"/>
    </xf>
    <xf numFmtId="0" fontId="0" fillId="0" borderId="2" xfId="0" applyBorder="1" applyAlignment="1">
      <alignment vertical="center" wrapText="1"/>
    </xf>
    <xf numFmtId="0" fontId="0" fillId="0" borderId="13" xfId="0" applyBorder="1" applyAlignment="1">
      <alignment vertical="center"/>
    </xf>
    <xf numFmtId="2" fontId="1" fillId="7" borderId="16" xfId="0" quotePrefix="1" applyNumberFormat="1" applyFont="1" applyFill="1" applyBorder="1" applyAlignment="1">
      <alignment horizontal="center" vertical="center"/>
    </xf>
    <xf numFmtId="0" fontId="0" fillId="7" borderId="8" xfId="0" applyFill="1" applyBorder="1" applyAlignment="1">
      <alignment horizontal="center" vertical="center"/>
    </xf>
    <xf numFmtId="0" fontId="0" fillId="7" borderId="34" xfId="0" applyFill="1" applyBorder="1" applyAlignment="1">
      <alignment horizontal="center" vertical="center"/>
    </xf>
    <xf numFmtId="0" fontId="0" fillId="7" borderId="35" xfId="0" applyFill="1" applyBorder="1" applyAlignment="1">
      <alignment horizontal="center" vertical="center"/>
    </xf>
    <xf numFmtId="0" fontId="1" fillId="0" borderId="12" xfId="0" applyFont="1" applyBorder="1" applyAlignment="1">
      <alignment vertical="center"/>
    </xf>
    <xf numFmtId="0" fontId="0" fillId="0" borderId="33" xfId="0" applyBorder="1" applyAlignment="1">
      <alignment horizontal="center" vertical="center"/>
    </xf>
    <xf numFmtId="0" fontId="0" fillId="0" borderId="36" xfId="0" quotePrefix="1" applyBorder="1" applyAlignment="1">
      <alignment horizontal="center" vertical="center"/>
    </xf>
    <xf numFmtId="0" fontId="0" fillId="0" borderId="21" xfId="0" applyBorder="1" applyAlignment="1">
      <alignment vertical="center"/>
    </xf>
    <xf numFmtId="0" fontId="0" fillId="0" borderId="18" xfId="0" quotePrefix="1" applyBorder="1" applyAlignment="1">
      <alignment horizontal="center" vertical="center"/>
    </xf>
    <xf numFmtId="0" fontId="0" fillId="0" borderId="21" xfId="0" quotePrefix="1" applyBorder="1" applyAlignment="1">
      <alignment horizontal="center" vertical="center"/>
    </xf>
    <xf numFmtId="0" fontId="0" fillId="0" borderId="9" xfId="0" quotePrefix="1" applyBorder="1" applyAlignment="1">
      <alignment horizontal="center" vertical="center"/>
    </xf>
    <xf numFmtId="0" fontId="0" fillId="0" borderId="37" xfId="0" quotePrefix="1" applyBorder="1" applyAlignment="1">
      <alignment horizontal="center" vertical="center"/>
    </xf>
    <xf numFmtId="0" fontId="0" fillId="0" borderId="30" xfId="0" quotePrefix="1" applyBorder="1" applyAlignment="1">
      <alignment horizontal="center" vertical="center"/>
    </xf>
    <xf numFmtId="0" fontId="1" fillId="0" borderId="9" xfId="0" quotePrefix="1" applyFont="1" applyBorder="1" applyAlignment="1">
      <alignment horizontal="center" vertical="center"/>
    </xf>
    <xf numFmtId="0" fontId="0" fillId="0" borderId="30" xfId="0" applyBorder="1" applyAlignment="1">
      <alignment horizontal="center" vertical="center"/>
    </xf>
    <xf numFmtId="2" fontId="0" fillId="7" borderId="6" xfId="0" applyNumberFormat="1" applyFill="1" applyBorder="1" applyAlignment="1">
      <alignment horizontal="center" vertical="center"/>
    </xf>
    <xf numFmtId="2" fontId="0" fillId="7" borderId="13" xfId="0" applyNumberFormat="1" applyFill="1" applyBorder="1" applyAlignment="1">
      <alignment horizontal="center" vertical="center"/>
    </xf>
    <xf numFmtId="2" fontId="0" fillId="7" borderId="32" xfId="0" applyNumberFormat="1" applyFill="1" applyBorder="1" applyAlignment="1">
      <alignment horizontal="center" vertical="center"/>
    </xf>
    <xf numFmtId="0" fontId="0" fillId="7" borderId="32" xfId="0" applyFill="1" applyBorder="1" applyAlignment="1">
      <alignment horizontal="center" vertical="center"/>
    </xf>
    <xf numFmtId="0" fontId="0" fillId="7" borderId="1" xfId="0" quotePrefix="1" applyFill="1" applyBorder="1" applyAlignment="1">
      <alignment horizontal="center" vertical="center"/>
    </xf>
    <xf numFmtId="0" fontId="0" fillId="7" borderId="18" xfId="0" applyFill="1" applyBorder="1" applyAlignment="1">
      <alignment vertical="center"/>
    </xf>
    <xf numFmtId="2" fontId="3" fillId="0" borderId="2" xfId="0" applyNumberFormat="1" applyFont="1" applyFill="1" applyBorder="1" applyAlignment="1">
      <alignment horizontal="center" vertical="center"/>
    </xf>
    <xf numFmtId="0" fontId="3" fillId="7"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3" xfId="0" applyBorder="1" applyAlignment="1">
      <alignment vertical="center"/>
    </xf>
    <xf numFmtId="0" fontId="0" fillId="0" borderId="1" xfId="0" applyBorder="1" applyAlignment="1">
      <alignment vertical="center"/>
    </xf>
    <xf numFmtId="0" fontId="1" fillId="0" borderId="1" xfId="0" quotePrefix="1" applyFont="1" applyBorder="1" applyAlignment="1">
      <alignment horizontal="center" vertical="center"/>
    </xf>
    <xf numFmtId="0" fontId="0" fillId="7" borderId="1" xfId="0" applyFill="1" applyBorder="1" applyAlignment="1">
      <alignment vertical="center"/>
    </xf>
    <xf numFmtId="0" fontId="0" fillId="0" borderId="1" xfId="0" quotePrefix="1" applyBorder="1" applyAlignment="1">
      <alignment horizontal="center" vertical="center"/>
    </xf>
    <xf numFmtId="0" fontId="0" fillId="7" borderId="4" xfId="0" applyFill="1" applyBorder="1" applyAlignment="1">
      <alignment vertical="center" wrapText="1"/>
    </xf>
    <xf numFmtId="0" fontId="0" fillId="7" borderId="2" xfId="0" applyFill="1" applyBorder="1" applyAlignment="1">
      <alignment vertical="center" wrapText="1"/>
    </xf>
    <xf numFmtId="0" fontId="1" fillId="0" borderId="2" xfId="0" applyFont="1" applyBorder="1" applyAlignment="1">
      <alignment horizontal="center" vertical="center"/>
    </xf>
    <xf numFmtId="2" fontId="1" fillId="0" borderId="2" xfId="0" applyNumberFormat="1" applyFont="1" applyFill="1" applyBorder="1" applyAlignment="1">
      <alignment horizontal="center" vertical="center" wrapText="1"/>
    </xf>
    <xf numFmtId="0" fontId="1" fillId="7" borderId="2" xfId="0" applyFont="1" applyFill="1" applyBorder="1" applyAlignment="1">
      <alignment horizontal="center" vertical="center"/>
    </xf>
    <xf numFmtId="0" fontId="0" fillId="7" borderId="13" xfId="0" applyFill="1" applyBorder="1" applyAlignment="1">
      <alignment vertical="center"/>
    </xf>
    <xf numFmtId="0" fontId="0" fillId="7" borderId="32" xfId="0" applyFill="1" applyBorder="1" applyAlignment="1">
      <alignment vertical="center"/>
    </xf>
    <xf numFmtId="0" fontId="1" fillId="7" borderId="12" xfId="0" applyFont="1" applyFill="1" applyBorder="1" applyAlignment="1">
      <alignment horizontal="center" vertical="center"/>
    </xf>
    <xf numFmtId="0" fontId="4" fillId="7" borderId="2" xfId="0" applyFont="1" applyFill="1" applyBorder="1" applyAlignment="1">
      <alignment horizontal="center" vertical="center"/>
    </xf>
    <xf numFmtId="0" fontId="0" fillId="7" borderId="4" xfId="0" applyFill="1" applyBorder="1" applyAlignment="1">
      <alignment vertical="center"/>
    </xf>
    <xf numFmtId="0" fontId="1" fillId="7" borderId="2" xfId="0" quotePrefix="1" applyFont="1" applyFill="1" applyBorder="1" applyAlignment="1">
      <alignment horizontal="center" vertical="center" wrapText="1"/>
    </xf>
    <xf numFmtId="0" fontId="4" fillId="7" borderId="12" xfId="0" applyFont="1" applyFill="1" applyBorder="1" applyAlignment="1">
      <alignment horizontal="center" vertical="center"/>
    </xf>
    <xf numFmtId="0" fontId="0" fillId="7" borderId="8" xfId="0" applyFill="1" applyBorder="1" applyAlignment="1">
      <alignment horizontal="center" vertical="center" wrapText="1"/>
    </xf>
    <xf numFmtId="0" fontId="0" fillId="7" borderId="15" xfId="0" applyFill="1" applyBorder="1" applyAlignment="1">
      <alignment vertical="center" wrapText="1"/>
    </xf>
    <xf numFmtId="0" fontId="0" fillId="7" borderId="10" xfId="0" applyFill="1" applyBorder="1" applyAlignment="1">
      <alignment vertical="center" wrapText="1"/>
    </xf>
    <xf numFmtId="0" fontId="0" fillId="7" borderId="3" xfId="0" applyFill="1" applyBorder="1" applyAlignment="1">
      <alignment vertical="center" wrapText="1"/>
    </xf>
    <xf numFmtId="0" fontId="1"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16" xfId="0" applyFill="1" applyBorder="1" applyAlignment="1">
      <alignment vertical="center" wrapText="1"/>
    </xf>
    <xf numFmtId="0" fontId="0" fillId="7" borderId="43" xfId="0" applyFill="1" applyBorder="1" applyAlignment="1">
      <alignment vertical="center" wrapText="1"/>
    </xf>
    <xf numFmtId="0" fontId="3" fillId="7" borderId="33" xfId="0" applyFont="1" applyFill="1" applyBorder="1" applyAlignment="1">
      <alignment horizontal="center" vertical="center"/>
    </xf>
    <xf numFmtId="0" fontId="0" fillId="7" borderId="33" xfId="0" applyFill="1" applyBorder="1" applyAlignment="1">
      <alignment horizontal="center" vertical="center"/>
    </xf>
    <xf numFmtId="0" fontId="0" fillId="7" borderId="21" xfId="0" quotePrefix="1" applyFill="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2" fontId="0" fillId="0" borderId="40" xfId="0" applyNumberFormat="1" applyBorder="1" applyAlignment="1">
      <alignment horizontal="center" vertical="center"/>
    </xf>
    <xf numFmtId="2" fontId="0" fillId="0" borderId="39" xfId="0" applyNumberFormat="1" applyBorder="1" applyAlignment="1">
      <alignment vertical="center"/>
    </xf>
    <xf numFmtId="2" fontId="0" fillId="4" borderId="40" xfId="0" applyNumberFormat="1" applyFill="1" applyBorder="1" applyAlignment="1">
      <alignment horizontal="center" vertical="center"/>
    </xf>
    <xf numFmtId="0" fontId="0" fillId="4" borderId="38" xfId="0" applyFill="1" applyBorder="1" applyAlignment="1">
      <alignment vertical="center"/>
    </xf>
    <xf numFmtId="0" fontId="1" fillId="0" borderId="29" xfId="0" applyFont="1" applyBorder="1" applyAlignment="1">
      <alignment vertical="center"/>
    </xf>
    <xf numFmtId="0" fontId="0" fillId="0" borderId="29" xfId="0" applyBorder="1" applyAlignment="1">
      <alignment vertical="center"/>
    </xf>
    <xf numFmtId="0" fontId="6" fillId="0" borderId="4" xfId="0" applyFont="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xf>
    <xf numFmtId="0" fontId="0" fillId="0" borderId="29" xfId="0" applyFill="1" applyBorder="1" applyAlignment="1">
      <alignment vertical="center"/>
    </xf>
    <xf numFmtId="0" fontId="1" fillId="2" borderId="4" xfId="0" applyFont="1" applyFill="1" applyBorder="1" applyAlignment="1">
      <alignment horizontal="center" vertical="center"/>
    </xf>
    <xf numFmtId="0" fontId="0" fillId="0" borderId="4" xfId="0" quotePrefix="1" applyBorder="1" applyAlignment="1">
      <alignment horizontal="center" vertical="center"/>
    </xf>
    <xf numFmtId="3" fontId="0" fillId="4" borderId="4" xfId="0" applyNumberFormat="1" applyFill="1" applyBorder="1" applyAlignment="1">
      <alignment horizontal="center" vertical="center"/>
    </xf>
    <xf numFmtId="3" fontId="0" fillId="4" borderId="29" xfId="0" applyNumberFormat="1" applyFill="1" applyBorder="1" applyAlignment="1">
      <alignment vertical="center"/>
    </xf>
    <xf numFmtId="0" fontId="0" fillId="0" borderId="41" xfId="0" applyBorder="1" applyAlignment="1">
      <alignment vertical="center"/>
    </xf>
    <xf numFmtId="0" fontId="1" fillId="0" borderId="16" xfId="0" applyFont="1" applyBorder="1" applyAlignment="1">
      <alignment horizontal="center" vertical="center"/>
    </xf>
    <xf numFmtId="0" fontId="0" fillId="0" borderId="8" xfId="0" applyBorder="1" applyAlignment="1">
      <alignment vertical="center"/>
    </xf>
    <xf numFmtId="0" fontId="0" fillId="0" borderId="16" xfId="0" applyFill="1" applyBorder="1" applyAlignment="1">
      <alignment horizontal="center" vertical="center"/>
    </xf>
    <xf numFmtId="0" fontId="0" fillId="0" borderId="11" xfId="0" applyFill="1" applyBorder="1" applyAlignment="1">
      <alignment vertical="center"/>
    </xf>
    <xf numFmtId="0" fontId="0" fillId="0" borderId="0" xfId="0" applyBorder="1" applyAlignment="1">
      <alignment vertical="center"/>
    </xf>
    <xf numFmtId="0" fontId="0" fillId="4" borderId="16" xfId="0" applyFill="1" applyBorder="1" applyAlignment="1">
      <alignment horizontal="center" vertical="center"/>
    </xf>
    <xf numFmtId="0" fontId="0" fillId="4" borderId="11" xfId="0" applyFill="1" applyBorder="1" applyAlignment="1">
      <alignment vertical="center"/>
    </xf>
    <xf numFmtId="0" fontId="3" fillId="0" borderId="29" xfId="0" applyFont="1" applyFill="1" applyBorder="1" applyAlignment="1">
      <alignment horizontal="center" vertical="center"/>
    </xf>
    <xf numFmtId="0" fontId="0" fillId="0" borderId="12" xfId="0" applyFill="1" applyBorder="1" applyAlignment="1">
      <alignment vertical="center"/>
    </xf>
    <xf numFmtId="0" fontId="3" fillId="0" borderId="4" xfId="0" applyFont="1" applyFill="1" applyBorder="1" applyAlignment="1">
      <alignment horizontal="center" vertical="center"/>
    </xf>
    <xf numFmtId="0" fontId="1" fillId="4" borderId="16" xfId="0" applyFont="1" applyFill="1" applyBorder="1" applyAlignment="1">
      <alignment horizontal="center" vertical="center"/>
    </xf>
    <xf numFmtId="0" fontId="0" fillId="0" borderId="20" xfId="0" applyBorder="1" applyAlignment="1">
      <alignment vertical="center"/>
    </xf>
    <xf numFmtId="0" fontId="0" fillId="0" borderId="42" xfId="0" applyBorder="1" applyAlignment="1">
      <alignment vertical="center"/>
    </xf>
    <xf numFmtId="0" fontId="0" fillId="0" borderId="0" xfId="0" applyAlignment="1">
      <alignment vertical="center"/>
    </xf>
    <xf numFmtId="0" fontId="0" fillId="0" borderId="7" xfId="0" applyBorder="1" applyAlignment="1">
      <alignment vertical="center"/>
    </xf>
    <xf numFmtId="0" fontId="6" fillId="4" borderId="43" xfId="0" applyFont="1" applyFill="1" applyBorder="1" applyAlignment="1">
      <alignment horizontal="center" vertical="center"/>
    </xf>
    <xf numFmtId="0" fontId="0" fillId="4" borderId="20" xfId="0" applyFill="1" applyBorder="1" applyAlignment="1">
      <alignment vertical="center"/>
    </xf>
    <xf numFmtId="165" fontId="0" fillId="4" borderId="42" xfId="0" applyNumberFormat="1" applyFill="1" applyBorder="1" applyAlignment="1">
      <alignment horizontal="center" vertical="center"/>
    </xf>
    <xf numFmtId="0" fontId="0" fillId="4" borderId="0" xfId="0" applyFill="1" applyAlignment="1">
      <alignment vertical="center"/>
    </xf>
    <xf numFmtId="0" fontId="0" fillId="4" borderId="7" xfId="0" applyFill="1" applyBorder="1" applyAlignment="1">
      <alignment vertical="center"/>
    </xf>
    <xf numFmtId="0" fontId="1" fillId="4" borderId="42"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0" fillId="0" borderId="7" xfId="0" applyFill="1" applyBorder="1" applyAlignment="1">
      <alignment vertical="center"/>
    </xf>
    <xf numFmtId="0" fontId="3"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11" xfId="0" applyBorder="1" applyAlignment="1">
      <alignment vertical="center"/>
    </xf>
    <xf numFmtId="0" fontId="0" fillId="4" borderId="8" xfId="0" applyFill="1" applyBorder="1" applyAlignment="1">
      <alignment vertical="center"/>
    </xf>
    <xf numFmtId="0" fontId="0" fillId="0" borderId="16" xfId="0" applyBorder="1" applyAlignment="1">
      <alignment vertical="center"/>
    </xf>
    <xf numFmtId="0" fontId="5" fillId="0" borderId="0" xfId="0" applyFont="1" applyAlignment="1">
      <alignment vertical="center" wrapText="1"/>
    </xf>
    <xf numFmtId="0" fontId="6" fillId="0" borderId="12" xfId="0" applyFont="1" applyBorder="1" applyAlignment="1">
      <alignment horizontal="center" vertical="center"/>
    </xf>
    <xf numFmtId="0" fontId="1" fillId="0" borderId="16" xfId="0" applyFont="1" applyFill="1" applyBorder="1" applyAlignment="1">
      <alignment horizontal="center" vertical="center"/>
    </xf>
    <xf numFmtId="0" fontId="0" fillId="0" borderId="12" xfId="0" applyBorder="1" applyAlignment="1"/>
    <xf numFmtId="0" fontId="0" fillId="0" borderId="2" xfId="0" applyBorder="1" applyAlignment="1"/>
    <xf numFmtId="0" fontId="1" fillId="0" borderId="12" xfId="0" applyFont="1" applyBorder="1" applyAlignment="1">
      <alignment horizontal="left"/>
    </xf>
    <xf numFmtId="164" fontId="0" fillId="0" borderId="4" xfId="0" applyNumberFormat="1" applyFill="1" applyBorder="1" applyAlignment="1">
      <alignment horizontal="center"/>
    </xf>
    <xf numFmtId="164" fontId="0" fillId="0" borderId="12" xfId="0" applyNumberFormat="1" applyFill="1" applyBorder="1" applyAlignment="1">
      <alignment horizontal="center"/>
    </xf>
    <xf numFmtId="2" fontId="1" fillId="7" borderId="32" xfId="0" applyNumberFormat="1" applyFont="1" applyFill="1" applyBorder="1" applyAlignment="1">
      <alignment horizontal="left"/>
    </xf>
    <xf numFmtId="2" fontId="0" fillId="7" borderId="32" xfId="0" applyNumberFormat="1" applyFill="1" applyBorder="1" applyAlignment="1">
      <alignment horizontal="left"/>
    </xf>
    <xf numFmtId="2" fontId="0" fillId="7" borderId="5" xfId="0" applyNumberFormat="1" applyFill="1" applyBorder="1" applyAlignment="1">
      <alignment horizontal="center"/>
    </xf>
    <xf numFmtId="0" fontId="0" fillId="7" borderId="5" xfId="0" applyFill="1" applyBorder="1" applyAlignment="1">
      <alignment horizontal="center"/>
    </xf>
    <xf numFmtId="0" fontId="1" fillId="0" borderId="1" xfId="0" quotePrefix="1" applyFont="1" applyBorder="1" applyAlignment="1">
      <alignment horizontal="center"/>
    </xf>
    <xf numFmtId="0" fontId="0" fillId="0" borderId="1" xfId="0" applyBorder="1" applyAlignment="1"/>
    <xf numFmtId="0" fontId="3" fillId="0" borderId="2" xfId="0" applyFont="1" applyBorder="1" applyAlignment="1">
      <alignment horizontal="center" vertical="top" wrapText="1"/>
    </xf>
    <xf numFmtId="0" fontId="0" fillId="0" borderId="2" xfId="0" applyBorder="1" applyAlignment="1">
      <alignment horizontal="center"/>
    </xf>
    <xf numFmtId="0" fontId="0" fillId="7" borderId="5" xfId="0" applyFill="1" applyBorder="1" applyAlignment="1"/>
    <xf numFmtId="0" fontId="0" fillId="7" borderId="1" xfId="0" quotePrefix="1" applyFill="1" applyBorder="1" applyAlignment="1">
      <alignment horizontal="center"/>
    </xf>
    <xf numFmtId="0" fontId="0" fillId="7" borderId="1" xfId="0" applyFill="1" applyBorder="1" applyAlignment="1"/>
    <xf numFmtId="0" fontId="0" fillId="0" borderId="21" xfId="0" quotePrefix="1" applyBorder="1" applyAlignment="1">
      <alignment horizontal="center"/>
    </xf>
    <xf numFmtId="0" fontId="0" fillId="0" borderId="9" xfId="0" quotePrefix="1" applyBorder="1" applyAlignment="1">
      <alignment horizontal="center"/>
    </xf>
    <xf numFmtId="0" fontId="0" fillId="0" borderId="37" xfId="0" quotePrefix="1" applyBorder="1" applyAlignment="1">
      <alignment horizontal="center"/>
    </xf>
    <xf numFmtId="164" fontId="0" fillId="7" borderId="4" xfId="0" applyNumberFormat="1" applyFill="1" applyBorder="1" applyAlignment="1">
      <alignment horizontal="center"/>
    </xf>
    <xf numFmtId="164" fontId="0" fillId="7" borderId="12" xfId="0" applyNumberFormat="1" applyFill="1" applyBorder="1" applyAlignment="1">
      <alignment horizontal="center"/>
    </xf>
    <xf numFmtId="0" fontId="0" fillId="0" borderId="12" xfId="0" applyBorder="1" applyAlignment="1">
      <alignment horizontal="center"/>
    </xf>
    <xf numFmtId="0" fontId="3" fillId="0" borderId="12" xfId="0" applyFont="1" applyBorder="1" applyAlignment="1">
      <alignment horizontal="center" vertical="top" wrapText="1"/>
    </xf>
    <xf numFmtId="0" fontId="3" fillId="7" borderId="2" xfId="0" applyFont="1" applyFill="1" applyBorder="1" applyAlignment="1">
      <alignment horizontal="center" vertical="top" wrapText="1"/>
    </xf>
    <xf numFmtId="0" fontId="0" fillId="7" borderId="2" xfId="0" applyFill="1" applyBorder="1" applyAlignment="1">
      <alignment horizontal="center"/>
    </xf>
    <xf numFmtId="0" fontId="0" fillId="7" borderId="2" xfId="0" applyFill="1" applyBorder="1" applyAlignment="1"/>
    <xf numFmtId="164" fontId="0" fillId="0" borderId="29" xfId="0" applyNumberFormat="1" applyBorder="1" applyAlignment="1">
      <alignment horizontal="center"/>
    </xf>
    <xf numFmtId="3" fontId="0" fillId="4" borderId="4" xfId="0" applyNumberFormat="1" applyFill="1" applyBorder="1" applyAlignment="1">
      <alignment horizontal="center"/>
    </xf>
    <xf numFmtId="0" fontId="0" fillId="4" borderId="29" xfId="0" applyFill="1" applyBorder="1" applyAlignment="1"/>
    <xf numFmtId="0" fontId="3" fillId="0" borderId="15" xfId="0" applyFont="1" applyBorder="1" applyAlignment="1">
      <alignment horizontal="center" vertical="top" wrapText="1"/>
    </xf>
    <xf numFmtId="0" fontId="0" fillId="0" borderId="45" xfId="0" applyBorder="1" applyAlignment="1">
      <alignment horizontal="center" wrapText="1"/>
    </xf>
    <xf numFmtId="0" fontId="0" fillId="0" borderId="3" xfId="0" applyBorder="1" applyAlignment="1">
      <alignment horizontal="center" wrapText="1"/>
    </xf>
    <xf numFmtId="0" fontId="1" fillId="0" borderId="9" xfId="0" quotePrefix="1" applyFont="1" applyBorder="1" applyAlignment="1">
      <alignment horizontal="center"/>
    </xf>
    <xf numFmtId="0" fontId="0" fillId="0" borderId="30" xfId="0" applyBorder="1" applyAlignment="1">
      <alignment horizontal="center"/>
    </xf>
    <xf numFmtId="0" fontId="1" fillId="7" borderId="42" xfId="0" applyFont="1" applyFill="1" applyBorder="1" applyAlignment="1">
      <alignment horizontal="center" vertical="top" wrapText="1"/>
    </xf>
    <xf numFmtId="0" fontId="0" fillId="7" borderId="0" xfId="0" applyFill="1" applyBorder="1" applyAlignment="1">
      <alignment horizontal="center" vertical="top" wrapText="1"/>
    </xf>
    <xf numFmtId="0" fontId="0" fillId="7" borderId="42" xfId="0" applyFill="1" applyBorder="1" applyAlignment="1">
      <alignment vertical="top" wrapText="1"/>
    </xf>
    <xf numFmtId="0" fontId="0" fillId="7" borderId="0" xfId="0" applyFill="1" applyAlignment="1">
      <alignment vertical="top" wrapText="1"/>
    </xf>
    <xf numFmtId="0" fontId="0" fillId="7" borderId="18" xfId="0" quotePrefix="1" applyFill="1" applyBorder="1" applyAlignment="1">
      <alignment horizontal="center"/>
    </xf>
    <xf numFmtId="0" fontId="0" fillId="7" borderId="36" xfId="0" applyFill="1" applyBorder="1" applyAlignment="1"/>
    <xf numFmtId="0" fontId="1" fillId="7" borderId="45" xfId="0" applyFont="1" applyFill="1" applyBorder="1" applyAlignment="1">
      <alignment horizontal="center"/>
    </xf>
    <xf numFmtId="0" fontId="0" fillId="7" borderId="45" xfId="0" applyFill="1" applyBorder="1" applyAlignment="1">
      <alignment horizontal="center"/>
    </xf>
    <xf numFmtId="2" fontId="0" fillId="7" borderId="15" xfId="0" applyNumberFormat="1" applyFill="1" applyBorder="1" applyAlignment="1">
      <alignment horizontal="center"/>
    </xf>
    <xf numFmtId="0" fontId="1" fillId="7" borderId="42" xfId="0" applyFont="1" applyFill="1" applyBorder="1" applyAlignment="1">
      <alignment horizontal="center"/>
    </xf>
    <xf numFmtId="0" fontId="0" fillId="7" borderId="7" xfId="0" applyFill="1" applyBorder="1" applyAlignment="1"/>
    <xf numFmtId="2" fontId="0" fillId="7" borderId="6" xfId="0" applyNumberFormat="1" applyFill="1" applyBorder="1" applyAlignment="1">
      <alignment horizontal="center"/>
    </xf>
    <xf numFmtId="0" fontId="3" fillId="7" borderId="16" xfId="0" applyFont="1" applyFill="1" applyBorder="1" applyAlignment="1">
      <alignment horizontal="center" vertical="top" wrapText="1"/>
    </xf>
    <xf numFmtId="0" fontId="0" fillId="7" borderId="11" xfId="0" applyFill="1" applyBorder="1" applyAlignment="1">
      <alignment wrapText="1"/>
    </xf>
    <xf numFmtId="0" fontId="0" fillId="7" borderId="43" xfId="0" applyFill="1" applyBorder="1" applyAlignment="1">
      <alignment wrapText="1"/>
    </xf>
    <xf numFmtId="0" fontId="0" fillId="7" borderId="20" xfId="0" applyFill="1" applyBorder="1" applyAlignment="1">
      <alignment wrapText="1"/>
    </xf>
    <xf numFmtId="164" fontId="0" fillId="7" borderId="6" xfId="0" applyNumberFormat="1" applyFill="1" applyBorder="1" applyAlignment="1">
      <alignment horizontal="center"/>
    </xf>
    <xf numFmtId="0" fontId="0" fillId="7" borderId="32" xfId="0" applyFill="1" applyBorder="1" applyAlignment="1">
      <alignment horizontal="center"/>
    </xf>
    <xf numFmtId="0" fontId="0" fillId="7" borderId="29" xfId="0" applyFill="1" applyBorder="1" applyAlignment="1">
      <alignment horizontal="center"/>
    </xf>
    <xf numFmtId="2" fontId="1" fillId="7" borderId="4" xfId="0" applyNumberFormat="1" applyFont="1" applyFill="1" applyBorder="1" applyAlignment="1">
      <alignment horizontal="center"/>
    </xf>
    <xf numFmtId="0" fontId="0" fillId="0" borderId="4" xfId="0" applyBorder="1" applyAlignment="1">
      <alignment horizontal="center"/>
    </xf>
    <xf numFmtId="0" fontId="3" fillId="0" borderId="16" xfId="0" applyFont="1" applyBorder="1" applyAlignment="1">
      <alignment horizontal="center" vertical="top" wrapText="1"/>
    </xf>
    <xf numFmtId="0" fontId="0" fillId="0" borderId="8" xfId="0" applyBorder="1"/>
    <xf numFmtId="0" fontId="0" fillId="0" borderId="43" xfId="0" applyBorder="1"/>
    <xf numFmtId="0" fontId="0" fillId="0" borderId="10" xfId="0" applyBorder="1"/>
    <xf numFmtId="0" fontId="0" fillId="7" borderId="13" xfId="0" applyFill="1" applyBorder="1" applyAlignment="1">
      <alignment horizontal="left"/>
    </xf>
    <xf numFmtId="0" fontId="0" fillId="7" borderId="5" xfId="0" applyFill="1" applyBorder="1" applyAlignment="1">
      <alignment horizontal="left"/>
    </xf>
    <xf numFmtId="0" fontId="0" fillId="7" borderId="12" xfId="0" applyFill="1" applyBorder="1" applyAlignment="1">
      <alignment horizontal="left"/>
    </xf>
    <xf numFmtId="0" fontId="0" fillId="7" borderId="2" xfId="0" applyFill="1" applyBorder="1" applyAlignment="1">
      <alignment horizontal="left"/>
    </xf>
    <xf numFmtId="166" fontId="0" fillId="7" borderId="4" xfId="0" applyNumberFormat="1" applyFill="1" applyBorder="1" applyAlignment="1">
      <alignment horizontal="center"/>
    </xf>
    <xf numFmtId="166" fontId="0" fillId="7" borderId="29" xfId="0" applyNumberFormat="1" applyFill="1" applyBorder="1" applyAlignment="1">
      <alignment horizontal="center"/>
    </xf>
    <xf numFmtId="166" fontId="0" fillId="7" borderId="6" xfId="0" applyNumberFormat="1" applyFill="1" applyBorder="1" applyAlignment="1">
      <alignment horizontal="center"/>
    </xf>
    <xf numFmtId="166" fontId="0" fillId="7" borderId="32" xfId="0" applyNumberFormat="1" applyFill="1" applyBorder="1" applyAlignment="1">
      <alignment horizontal="center"/>
    </xf>
    <xf numFmtId="0" fontId="0" fillId="7" borderId="21" xfId="0" quotePrefix="1" applyFill="1" applyBorder="1" applyAlignment="1">
      <alignment horizontal="center"/>
    </xf>
    <xf numFmtId="0" fontId="1" fillId="7" borderId="1" xfId="0" quotePrefix="1" applyFont="1" applyFill="1" applyBorder="1" applyAlignment="1">
      <alignment horizontal="center"/>
    </xf>
    <xf numFmtId="0" fontId="0" fillId="7" borderId="1" xfId="0" applyFill="1" applyBorder="1" applyAlignment="1">
      <alignment horizontal="center"/>
    </xf>
    <xf numFmtId="0" fontId="0" fillId="7" borderId="18" xfId="0" applyFill="1" applyBorder="1" applyAlignment="1">
      <alignment horizontal="center"/>
    </xf>
    <xf numFmtId="2" fontId="2" fillId="0" borderId="30" xfId="0" applyNumberFormat="1" applyFont="1" applyFill="1" applyBorder="1" applyAlignment="1">
      <alignment horizontal="left"/>
    </xf>
    <xf numFmtId="0" fontId="0" fillId="0" borderId="30" xfId="0" applyBorder="1" applyAlignment="1">
      <alignment horizontal="left"/>
    </xf>
    <xf numFmtId="0" fontId="1" fillId="7" borderId="29" xfId="0" applyFont="1" applyFill="1" applyBorder="1" applyAlignment="1">
      <alignment horizontal="left"/>
    </xf>
    <xf numFmtId="0" fontId="0" fillId="7" borderId="29" xfId="0" applyFill="1" applyBorder="1" applyAlignment="1">
      <alignment horizontal="left"/>
    </xf>
    <xf numFmtId="0" fontId="0" fillId="7" borderId="12" xfId="0" applyFill="1" applyBorder="1" applyAlignment="1"/>
    <xf numFmtId="0" fontId="3" fillId="7" borderId="12" xfId="0" applyFont="1" applyFill="1" applyBorder="1" applyAlignment="1">
      <alignment horizontal="center" vertical="top" wrapText="1"/>
    </xf>
    <xf numFmtId="0" fontId="0" fillId="7" borderId="12" xfId="0" applyFill="1" applyBorder="1" applyAlignment="1">
      <alignment vertical="top" wrapText="1"/>
    </xf>
    <xf numFmtId="0" fontId="0" fillId="7" borderId="2" xfId="0" applyFill="1" applyBorder="1" applyAlignment="1">
      <alignment vertical="top" wrapText="1"/>
    </xf>
    <xf numFmtId="0" fontId="3" fillId="7" borderId="2" xfId="0" applyFont="1" applyFill="1" applyBorder="1" applyAlignment="1">
      <alignment horizontal="center"/>
    </xf>
    <xf numFmtId="0" fontId="3" fillId="7" borderId="4" xfId="0" applyFont="1" applyFill="1" applyBorder="1" applyAlignment="1">
      <alignment horizontal="center"/>
    </xf>
    <xf numFmtId="0" fontId="1" fillId="7" borderId="2" xfId="0" quotePrefix="1" applyFont="1" applyFill="1" applyBorder="1" applyAlignment="1">
      <alignment horizontal="center"/>
    </xf>
    <xf numFmtId="0" fontId="0" fillId="7" borderId="4" xfId="0" applyFill="1" applyBorder="1" applyAlignment="1"/>
    <xf numFmtId="2" fontId="3" fillId="0" borderId="2" xfId="0" applyNumberFormat="1" applyFont="1" applyFill="1" applyBorder="1" applyAlignment="1">
      <alignment horizontal="center" vertical="top"/>
    </xf>
    <xf numFmtId="0" fontId="3" fillId="0" borderId="2" xfId="0" applyFont="1" applyBorder="1" applyAlignment="1">
      <alignment horizontal="center" vertical="top"/>
    </xf>
    <xf numFmtId="0" fontId="1" fillId="0" borderId="2" xfId="0" applyFont="1" applyBorder="1" applyAlignment="1">
      <alignment horizontal="center"/>
    </xf>
    <xf numFmtId="2" fontId="1" fillId="0" borderId="15" xfId="0" applyNumberFormat="1" applyFont="1" applyFill="1" applyBorder="1" applyAlignment="1">
      <alignment horizontal="center" wrapText="1"/>
    </xf>
    <xf numFmtId="2" fontId="1" fillId="0" borderId="12" xfId="0" applyNumberFormat="1" applyFont="1" applyFill="1" applyBorder="1" applyAlignment="1">
      <alignment horizontal="left"/>
    </xf>
    <xf numFmtId="2" fontId="1" fillId="0" borderId="13" xfId="0" applyNumberFormat="1" applyFont="1" applyFill="1" applyBorder="1" applyAlignment="1">
      <alignment horizontal="left"/>
    </xf>
    <xf numFmtId="0" fontId="0" fillId="0" borderId="5" xfId="0" applyBorder="1" applyAlignment="1"/>
    <xf numFmtId="0" fontId="1" fillId="0" borderId="15" xfId="0" quotePrefix="1" applyFont="1" applyBorder="1" applyAlignment="1">
      <alignment horizontal="center" vertical="center" wrapText="1"/>
    </xf>
    <xf numFmtId="0" fontId="0" fillId="0" borderId="3" xfId="0" applyBorder="1" applyAlignment="1">
      <alignment horizontal="center"/>
    </xf>
    <xf numFmtId="0" fontId="0" fillId="0" borderId="18" xfId="0" quotePrefix="1" applyBorder="1" applyAlignment="1">
      <alignment horizontal="center"/>
    </xf>
    <xf numFmtId="0" fontId="0" fillId="0" borderId="21" xfId="0" applyBorder="1"/>
    <xf numFmtId="0" fontId="0" fillId="0" borderId="33" xfId="0" applyBorder="1" applyAlignment="1"/>
    <xf numFmtId="0" fontId="0" fillId="7" borderId="15" xfId="0" applyFill="1" applyBorder="1" applyAlignment="1"/>
    <xf numFmtId="0" fontId="1" fillId="7" borderId="18" xfId="0" quotePrefix="1" applyFont="1" applyFill="1" applyBorder="1" applyAlignment="1">
      <alignment horizontal="center"/>
    </xf>
    <xf numFmtId="0" fontId="0" fillId="7" borderId="21" xfId="0" applyFill="1" applyBorder="1" applyAlignment="1"/>
    <xf numFmtId="0" fontId="0" fillId="7" borderId="0" xfId="0" applyFill="1" applyAlignment="1">
      <alignment horizontal="center"/>
    </xf>
    <xf numFmtId="0" fontId="0" fillId="7" borderId="7" xfId="0" applyFill="1" applyBorder="1" applyAlignment="1">
      <alignment horizontal="center"/>
    </xf>
    <xf numFmtId="0" fontId="0" fillId="7" borderId="7" xfId="0" applyFill="1" applyBorder="1" applyAlignment="1">
      <alignment horizontal="center" vertical="top" wrapText="1"/>
    </xf>
    <xf numFmtId="0" fontId="0" fillId="7" borderId="0" xfId="0" applyFill="1" applyBorder="1" applyAlignment="1">
      <alignment vertical="top" wrapText="1"/>
    </xf>
    <xf numFmtId="0" fontId="0" fillId="7" borderId="7" xfId="0" applyFill="1" applyBorder="1" applyAlignment="1">
      <alignment vertical="top" wrapText="1"/>
    </xf>
    <xf numFmtId="2" fontId="1" fillId="0" borderId="30" xfId="0" applyNumberFormat="1" applyFont="1" applyFill="1" applyBorder="1" applyAlignment="1">
      <alignment horizontal="left"/>
    </xf>
    <xf numFmtId="0" fontId="0" fillId="0" borderId="30" xfId="0" applyBorder="1" applyAlignment="1"/>
    <xf numFmtId="2" fontId="0" fillId="7" borderId="16" xfId="0" applyNumberFormat="1" applyFill="1" applyBorder="1" applyAlignment="1">
      <alignment horizontal="center"/>
    </xf>
    <xf numFmtId="0" fontId="1" fillId="7" borderId="45" xfId="0" quotePrefix="1" applyFont="1" applyFill="1" applyBorder="1" applyAlignment="1">
      <alignment horizontal="center"/>
    </xf>
    <xf numFmtId="0" fontId="0" fillId="7" borderId="42" xfId="0" applyFill="1" applyBorder="1" applyAlignment="1">
      <alignment horizontal="center"/>
    </xf>
    <xf numFmtId="0" fontId="1" fillId="7" borderId="11" xfId="0" applyFont="1" applyFill="1" applyBorder="1" applyAlignment="1">
      <alignment vertical="top" wrapText="1"/>
    </xf>
    <xf numFmtId="0" fontId="0" fillId="7" borderId="8" xfId="0" applyFill="1" applyBorder="1" applyAlignment="1">
      <alignment vertical="top" wrapText="1"/>
    </xf>
    <xf numFmtId="0" fontId="0" fillId="7" borderId="20" xfId="0" applyFill="1" applyBorder="1" applyAlignment="1">
      <alignment vertical="top" wrapText="1"/>
    </xf>
    <xf numFmtId="0" fontId="0" fillId="7" borderId="10" xfId="0" applyFill="1" applyBorder="1" applyAlignment="1">
      <alignment vertical="top" wrapText="1"/>
    </xf>
    <xf numFmtId="0" fontId="0" fillId="7" borderId="15" xfId="0" applyFill="1" applyBorder="1" applyAlignment="1">
      <alignment horizontal="center"/>
    </xf>
    <xf numFmtId="2" fontId="1" fillId="7" borderId="11" xfId="0" applyNumberFormat="1" applyFont="1" applyFill="1" applyBorder="1" applyAlignment="1">
      <alignment horizontal="left"/>
    </xf>
    <xf numFmtId="0" fontId="0" fillId="7" borderId="8" xfId="0" applyFill="1" applyBorder="1" applyAlignment="1">
      <alignment horizontal="left"/>
    </xf>
    <xf numFmtId="0" fontId="0" fillId="0" borderId="36" xfId="0" quotePrefix="1" applyBorder="1" applyAlignment="1">
      <alignment horizontal="center"/>
    </xf>
    <xf numFmtId="0" fontId="0" fillId="0" borderId="21" xfId="0" applyBorder="1" applyAlignment="1"/>
    <xf numFmtId="0" fontId="0" fillId="0" borderId="33" xfId="0" applyBorder="1" applyAlignment="1">
      <alignment horizontal="center"/>
    </xf>
    <xf numFmtId="0" fontId="1" fillId="0" borderId="12" xfId="0" applyFont="1" applyBorder="1" applyAlignment="1"/>
    <xf numFmtId="2" fontId="0" fillId="0" borderId="12" xfId="0" applyNumberFormat="1" applyFill="1" applyBorder="1" applyAlignment="1">
      <alignment horizontal="center"/>
    </xf>
    <xf numFmtId="2" fontId="0" fillId="0" borderId="2" xfId="0" applyNumberFormat="1" applyFill="1" applyBorder="1" applyAlignment="1">
      <alignment horizontal="center"/>
    </xf>
    <xf numFmtId="2" fontId="1" fillId="0" borderId="2" xfId="0" applyNumberFormat="1" applyFont="1" applyFill="1" applyBorder="1" applyAlignment="1">
      <alignment horizontal="center"/>
    </xf>
    <xf numFmtId="0" fontId="1" fillId="0" borderId="2" xfId="0" quotePrefix="1" applyFont="1" applyBorder="1" applyAlignment="1">
      <alignment horizontal="center"/>
    </xf>
    <xf numFmtId="0" fontId="0" fillId="0" borderId="12" xfId="0" applyBorder="1"/>
    <xf numFmtId="0" fontId="0" fillId="0" borderId="2" xfId="0" applyBorder="1"/>
    <xf numFmtId="0" fontId="3" fillId="0" borderId="4" xfId="0" applyFont="1" applyBorder="1" applyAlignment="1">
      <alignment horizontal="center" vertical="top" wrapText="1"/>
    </xf>
    <xf numFmtId="0" fontId="1" fillId="0" borderId="38" xfId="0" applyFont="1" applyBorder="1" applyAlignment="1"/>
    <xf numFmtId="0" fontId="0" fillId="0" borderId="38" xfId="0" applyBorder="1" applyAlignment="1"/>
    <xf numFmtId="0" fontId="0" fillId="0" borderId="39" xfId="0" applyBorder="1" applyAlignment="1"/>
    <xf numFmtId="2" fontId="0" fillId="0" borderId="40" xfId="0" applyNumberFormat="1" applyBorder="1" applyAlignment="1">
      <alignment horizontal="center"/>
    </xf>
    <xf numFmtId="2" fontId="0" fillId="0" borderId="39" xfId="0" applyNumberFormat="1" applyBorder="1" applyAlignment="1"/>
    <xf numFmtId="2" fontId="0" fillId="4" borderId="40" xfId="0" applyNumberFormat="1" applyFill="1" applyBorder="1" applyAlignment="1">
      <alignment horizontal="center"/>
    </xf>
    <xf numFmtId="0" fontId="0" fillId="4" borderId="38" xfId="0" applyFill="1" applyBorder="1" applyAlignment="1"/>
    <xf numFmtId="0" fontId="1" fillId="0" borderId="29" xfId="0" applyFont="1" applyBorder="1" applyAlignment="1"/>
    <xf numFmtId="0" fontId="0" fillId="0" borderId="29" xfId="0" applyBorder="1" applyAlignment="1"/>
    <xf numFmtId="0" fontId="1" fillId="0" borderId="4" xfId="0" applyFont="1" applyBorder="1" applyAlignment="1">
      <alignment horizontal="center"/>
    </xf>
    <xf numFmtId="0" fontId="0" fillId="2" borderId="4" xfId="0" applyFill="1" applyBorder="1" applyAlignment="1">
      <alignment horizontal="center"/>
    </xf>
    <xf numFmtId="0" fontId="0" fillId="2" borderId="29" xfId="0" applyFill="1" applyBorder="1" applyAlignment="1"/>
    <xf numFmtId="0" fontId="1" fillId="7" borderId="36" xfId="0" quotePrefix="1" applyFont="1" applyFill="1" applyBorder="1" applyAlignment="1">
      <alignment horizontal="center"/>
    </xf>
    <xf numFmtId="0" fontId="0" fillId="7" borderId="21" xfId="0" applyFill="1" applyBorder="1" applyAlignment="1">
      <alignment horizontal="center"/>
    </xf>
    <xf numFmtId="0" fontId="3" fillId="0" borderId="29" xfId="0" applyFont="1" applyFill="1" applyBorder="1" applyAlignment="1">
      <alignment horizontal="center"/>
    </xf>
    <xf numFmtId="0" fontId="0" fillId="0" borderId="29" xfId="0" applyFill="1" applyBorder="1" applyAlignment="1"/>
    <xf numFmtId="0" fontId="0" fillId="0" borderId="12" xfId="0" applyFill="1" applyBorder="1" applyAlignment="1"/>
    <xf numFmtId="0" fontId="3" fillId="0" borderId="4" xfId="0" applyFont="1" applyFill="1" applyBorder="1" applyAlignment="1">
      <alignment horizontal="center"/>
    </xf>
    <xf numFmtId="0" fontId="1" fillId="2" borderId="4" xfId="0" applyFont="1" applyFill="1" applyBorder="1" applyAlignment="1">
      <alignment horizontal="center"/>
    </xf>
    <xf numFmtId="0" fontId="6" fillId="0" borderId="4" xfId="0" applyFont="1" applyBorder="1" applyAlignment="1">
      <alignment horizontal="center"/>
    </xf>
    <xf numFmtId="0" fontId="0" fillId="0" borderId="4" xfId="0" quotePrefix="1" applyBorder="1" applyAlignment="1">
      <alignment horizontal="center"/>
    </xf>
    <xf numFmtId="3" fontId="0" fillId="4" borderId="29" xfId="0" applyNumberFormat="1" applyFill="1" applyBorder="1" applyAlignment="1"/>
    <xf numFmtId="0" fontId="0" fillId="0" borderId="41" xfId="0" applyBorder="1" applyAlignment="1"/>
    <xf numFmtId="0" fontId="0" fillId="0" borderId="16" xfId="0" quotePrefix="1" applyBorder="1" applyAlignment="1">
      <alignment horizontal="center"/>
    </xf>
    <xf numFmtId="0" fontId="0" fillId="0" borderId="8" xfId="0" applyBorder="1" applyAlignment="1"/>
    <xf numFmtId="0" fontId="0" fillId="2" borderId="16" xfId="0" applyFill="1" applyBorder="1" applyAlignment="1">
      <alignment horizontal="center"/>
    </xf>
    <xf numFmtId="0" fontId="0" fillId="2" borderId="11" xfId="0" applyFill="1" applyBorder="1" applyAlignment="1"/>
    <xf numFmtId="0" fontId="3" fillId="0" borderId="0" xfId="0" applyFont="1" applyFill="1" applyBorder="1" applyAlignment="1">
      <alignment horizontal="center"/>
    </xf>
    <xf numFmtId="0" fontId="0" fillId="0" borderId="0" xfId="0" applyFill="1" applyBorder="1" applyAlignment="1"/>
    <xf numFmtId="0" fontId="0" fillId="0" borderId="7" xfId="0" applyFill="1" applyBorder="1" applyAlignment="1"/>
    <xf numFmtId="0" fontId="3" fillId="0" borderId="43" xfId="0" applyFont="1" applyFill="1" applyBorder="1" applyAlignment="1">
      <alignment horizontal="center"/>
    </xf>
    <xf numFmtId="0" fontId="0" fillId="0" borderId="20" xfId="0" applyFill="1" applyBorder="1" applyAlignment="1">
      <alignment horizontal="center"/>
    </xf>
    <xf numFmtId="0" fontId="0" fillId="0" borderId="0" xfId="0" applyBorder="1" applyAlignment="1"/>
    <xf numFmtId="0" fontId="0" fillId="0" borderId="7" xfId="0" applyBorder="1" applyAlignment="1"/>
    <xf numFmtId="0" fontId="0" fillId="0" borderId="42" xfId="0" applyBorder="1" applyAlignment="1"/>
    <xf numFmtId="0" fontId="0" fillId="0" borderId="0" xfId="0" applyAlignment="1"/>
    <xf numFmtId="0" fontId="1" fillId="4" borderId="16" xfId="0" applyFont="1" applyFill="1" applyBorder="1" applyAlignment="1">
      <alignment horizontal="center"/>
    </xf>
    <xf numFmtId="0" fontId="0" fillId="4" borderId="11" xfId="0" applyFill="1" applyBorder="1" applyAlignment="1"/>
    <xf numFmtId="0" fontId="0" fillId="0" borderId="11" xfId="0" applyBorder="1" applyAlignment="1"/>
    <xf numFmtId="0" fontId="0" fillId="4" borderId="8" xfId="0" applyFill="1" applyBorder="1" applyAlignment="1"/>
    <xf numFmtId="0" fontId="6" fillId="4" borderId="42" xfId="0" applyFont="1" applyFill="1" applyBorder="1" applyAlignment="1">
      <alignment horizontal="center"/>
    </xf>
    <xf numFmtId="0" fontId="0" fillId="4" borderId="0" xfId="0" applyFill="1" applyAlignment="1"/>
    <xf numFmtId="0" fontId="0" fillId="4" borderId="7" xfId="0" applyFill="1" applyBorder="1" applyAlignment="1"/>
    <xf numFmtId="0" fontId="0" fillId="0" borderId="16" xfId="0" applyBorder="1" applyAlignment="1"/>
    <xf numFmtId="165" fontId="0" fillId="4" borderId="42" xfId="0" applyNumberFormat="1" applyFill="1" applyBorder="1" applyAlignment="1">
      <alignment horizontal="center"/>
    </xf>
    <xf numFmtId="0" fontId="1" fillId="0" borderId="42" xfId="0" applyFont="1" applyBorder="1" applyAlignment="1"/>
    <xf numFmtId="0" fontId="1" fillId="4" borderId="42" xfId="0" applyFont="1" applyFill="1" applyBorder="1" applyAlignment="1">
      <alignment horizontal="center"/>
    </xf>
    <xf numFmtId="0" fontId="6" fillId="4" borderId="43" xfId="0" applyFont="1" applyFill="1" applyBorder="1" applyAlignment="1">
      <alignment horizontal="center"/>
    </xf>
    <xf numFmtId="0" fontId="0" fillId="4" borderId="20" xfId="0" applyFill="1" applyBorder="1" applyAlignment="1"/>
    <xf numFmtId="0" fontId="1" fillId="0" borderId="12" xfId="0" applyFont="1" applyFill="1" applyBorder="1" applyAlignment="1">
      <alignment horizontal="left" vertical="top"/>
    </xf>
    <xf numFmtId="0" fontId="1" fillId="0" borderId="21" xfId="0" quotePrefix="1" applyFont="1" applyFill="1" applyBorder="1" applyAlignment="1">
      <alignment horizontal="center"/>
    </xf>
    <xf numFmtId="0" fontId="0" fillId="0" borderId="1" xfId="0" applyBorder="1" applyAlignment="1">
      <alignment horizontal="center"/>
    </xf>
    <xf numFmtId="0" fontId="1" fillId="0" borderId="1" xfId="0" quotePrefix="1" applyFont="1" applyFill="1" applyBorder="1" applyAlignment="1">
      <alignment horizontal="center"/>
    </xf>
    <xf numFmtId="0" fontId="0" fillId="0" borderId="18" xfId="0" applyBorder="1" applyAlignment="1">
      <alignment horizontal="center"/>
    </xf>
    <xf numFmtId="164" fontId="1" fillId="0" borderId="2" xfId="0" applyNumberFormat="1" applyFont="1" applyFill="1" applyBorder="1" applyAlignment="1">
      <alignment horizontal="center" wrapText="1"/>
    </xf>
    <xf numFmtId="164" fontId="0" fillId="0" borderId="2" xfId="0" applyNumberFormat="1" applyFill="1" applyBorder="1" applyAlignment="1">
      <alignment horizontal="center" wrapText="1"/>
    </xf>
    <xf numFmtId="0" fontId="1" fillId="0" borderId="47" xfId="0" applyFont="1" applyFill="1" applyBorder="1" applyAlignment="1">
      <alignment horizontal="right" vertical="top"/>
    </xf>
    <xf numFmtId="0" fontId="1" fillId="0" borderId="25" xfId="0" applyFont="1" applyFill="1" applyBorder="1" applyAlignment="1">
      <alignment horizontal="right" vertical="top"/>
    </xf>
    <xf numFmtId="0" fontId="3" fillId="0" borderId="12" xfId="0" applyFont="1" applyFill="1" applyBorder="1" applyAlignment="1">
      <alignment horizontal="left"/>
    </xf>
    <xf numFmtId="0" fontId="3" fillId="0" borderId="2" xfId="0" applyFont="1" applyBorder="1" applyAlignment="1"/>
    <xf numFmtId="0" fontId="1" fillId="0" borderId="12" xfId="0" applyFont="1" applyFill="1" applyBorder="1" applyAlignment="1">
      <alignment horizontal="left"/>
    </xf>
    <xf numFmtId="0" fontId="1" fillId="0" borderId="44" xfId="0" applyFont="1" applyFill="1" applyBorder="1" applyAlignment="1">
      <alignment horizontal="left" vertical="center"/>
    </xf>
    <xf numFmtId="0" fontId="0" fillId="0" borderId="17" xfId="0" applyBorder="1" applyAlignment="1">
      <alignment vertical="center"/>
    </xf>
    <xf numFmtId="0" fontId="3" fillId="0" borderId="14" xfId="0" applyFont="1" applyFill="1" applyBorder="1" applyAlignment="1">
      <alignment horizontal="center" vertical="top" wrapText="1"/>
    </xf>
    <xf numFmtId="0" fontId="3" fillId="0" borderId="14" xfId="0" applyFont="1" applyBorder="1" applyAlignment="1">
      <alignment horizontal="center" vertical="top" wrapText="1"/>
    </xf>
    <xf numFmtId="0" fontId="3" fillId="0" borderId="31" xfId="0" applyFont="1" applyBorder="1" applyAlignment="1">
      <alignment horizontal="center" vertical="top" wrapText="1"/>
    </xf>
    <xf numFmtId="164" fontId="0" fillId="0" borderId="29" xfId="0" applyNumberFormat="1" applyBorder="1" applyAlignment="1"/>
    <xf numFmtId="164" fontId="0" fillId="0" borderId="29" xfId="0" applyNumberFormat="1" applyFill="1" applyBorder="1" applyAlignment="1">
      <alignment horizontal="center" vertical="center"/>
    </xf>
    <xf numFmtId="164" fontId="0" fillId="0" borderId="6" xfId="0" applyNumberFormat="1" applyFill="1" applyBorder="1" applyAlignment="1">
      <alignment horizontal="center" vertical="center"/>
    </xf>
    <xf numFmtId="164" fontId="0" fillId="0" borderId="32" xfId="0" applyNumberFormat="1" applyFill="1" applyBorder="1" applyAlignment="1">
      <alignment horizontal="center" vertical="center"/>
    </xf>
    <xf numFmtId="164" fontId="0" fillId="0" borderId="13" xfId="0" applyNumberFormat="1" applyFill="1" applyBorder="1" applyAlignment="1">
      <alignment horizontal="center" vertical="center"/>
    </xf>
    <xf numFmtId="164" fontId="0" fillId="0" borderId="6" xfId="0" applyNumberFormat="1" applyFill="1" applyBorder="1" applyAlignment="1">
      <alignment horizontal="center"/>
    </xf>
    <xf numFmtId="164" fontId="0" fillId="0" borderId="32" xfId="0" applyNumberFormat="1" applyBorder="1" applyAlignment="1"/>
    <xf numFmtId="0" fontId="3" fillId="0" borderId="36" xfId="0" applyFont="1" applyFill="1" applyBorder="1" applyAlignment="1">
      <alignment horizontal="center"/>
    </xf>
    <xf numFmtId="0" fontId="3" fillId="0" borderId="2" xfId="0" applyFont="1" applyFill="1"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2" xfId="0" applyBorder="1" applyAlignment="1">
      <alignment vertical="top"/>
    </xf>
    <xf numFmtId="0" fontId="0" fillId="0" borderId="12" xfId="0" applyBorder="1" applyAlignment="1">
      <alignment vertical="top"/>
    </xf>
    <xf numFmtId="0" fontId="1" fillId="0" borderId="12" xfId="0" applyFont="1" applyFill="1" applyBorder="1" applyAlignment="1">
      <alignment horizontal="left" vertical="top" wrapText="1"/>
    </xf>
    <xf numFmtId="0" fontId="0" fillId="0" borderId="2"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3" fillId="0" borderId="12" xfId="0" applyFont="1" applyFill="1" applyBorder="1" applyAlignment="1">
      <alignment horizontal="left" vertical="top" wrapText="1"/>
    </xf>
    <xf numFmtId="0" fontId="3" fillId="0" borderId="2"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164" fontId="0" fillId="0" borderId="4" xfId="0" applyNumberFormat="1" applyFill="1" applyBorder="1" applyAlignment="1">
      <alignment horizontal="center" wrapText="1"/>
    </xf>
    <xf numFmtId="0" fontId="1" fillId="0" borderId="48" xfId="0" applyFont="1" applyFill="1" applyBorder="1" applyAlignment="1">
      <alignment horizontal="right"/>
    </xf>
    <xf numFmtId="0" fontId="1" fillId="0" borderId="27" xfId="0" applyFont="1" applyFill="1" applyBorder="1" applyAlignment="1">
      <alignment horizontal="right"/>
    </xf>
    <xf numFmtId="164" fontId="1" fillId="0" borderId="4" xfId="0" applyNumberFormat="1" applyFont="1" applyFill="1" applyBorder="1" applyAlignment="1">
      <alignment horizontal="center"/>
    </xf>
    <xf numFmtId="164" fontId="1" fillId="0" borderId="29" xfId="0" applyNumberFormat="1" applyFont="1" applyFill="1" applyBorder="1" applyAlignment="1">
      <alignment horizontal="center"/>
    </xf>
    <xf numFmtId="164" fontId="1" fillId="0" borderId="12" xfId="0" applyNumberFormat="1" applyFont="1" applyFill="1" applyBorder="1" applyAlignment="1">
      <alignment horizontal="center"/>
    </xf>
    <xf numFmtId="0" fontId="1" fillId="0" borderId="4" xfId="0" applyFont="1" applyFill="1" applyBorder="1" applyAlignment="1">
      <alignment horizontal="center" vertical="top" wrapText="1"/>
    </xf>
    <xf numFmtId="0" fontId="0" fillId="0" borderId="6" xfId="0" applyBorder="1" applyAlignment="1">
      <alignment horizontal="center" vertical="top" wrapText="1"/>
    </xf>
    <xf numFmtId="0" fontId="1"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0" fillId="0" borderId="4" xfId="0" applyBorder="1" applyAlignment="1">
      <alignment vertical="top" wrapText="1"/>
    </xf>
    <xf numFmtId="0" fontId="3" fillId="0" borderId="2" xfId="0" applyFont="1" applyFill="1" applyBorder="1" applyAlignment="1">
      <alignment horizontal="center" wrapText="1"/>
    </xf>
    <xf numFmtId="0" fontId="3" fillId="0" borderId="2" xfId="0" applyFont="1" applyBorder="1" applyAlignment="1">
      <alignment wrapText="1"/>
    </xf>
    <xf numFmtId="0" fontId="0" fillId="0" borderId="2" xfId="0" applyBorder="1" applyAlignment="1">
      <alignment wrapText="1"/>
    </xf>
    <xf numFmtId="0" fontId="0" fillId="0" borderId="5" xfId="0" applyBorder="1" applyAlignment="1">
      <alignment horizontal="center" vertical="top" wrapText="1"/>
    </xf>
    <xf numFmtId="0" fontId="1" fillId="0" borderId="2" xfId="0" applyFont="1" applyFill="1" applyBorder="1" applyAlignment="1">
      <alignment horizontal="center" wrapText="1"/>
    </xf>
    <xf numFmtId="0" fontId="1" fillId="0" borderId="5" xfId="0" applyFont="1" applyFill="1" applyBorder="1" applyAlignment="1">
      <alignment horizontal="center" wrapText="1"/>
    </xf>
    <xf numFmtId="0" fontId="0" fillId="0" borderId="5" xfId="0" applyBorder="1" applyAlignment="1">
      <alignment horizontal="center" wrapText="1"/>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12" xfId="0" applyFont="1" applyFill="1" applyBorder="1" applyAlignment="1">
      <alignment horizontal="left" vertical="top"/>
    </xf>
    <xf numFmtId="0" fontId="3" fillId="0" borderId="2" xfId="0" applyFont="1" applyBorder="1" applyAlignment="1">
      <alignment vertical="top"/>
    </xf>
    <xf numFmtId="0" fontId="0" fillId="0" borderId="13" xfId="0" applyBorder="1" applyAlignment="1">
      <alignment vertical="top"/>
    </xf>
    <xf numFmtId="0" fontId="0" fillId="0" borderId="5" xfId="0" applyBorder="1" applyAlignment="1">
      <alignment vertical="top"/>
    </xf>
    <xf numFmtId="0" fontId="1" fillId="0" borderId="15" xfId="0" applyFont="1" applyBorder="1" applyAlignment="1">
      <alignment horizontal="center" vertical="top" wrapText="1"/>
    </xf>
    <xf numFmtId="0" fontId="0" fillId="0" borderId="3" xfId="0" applyBorder="1" applyAlignment="1">
      <alignment horizontal="center" vertical="top"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1" fillId="0" borderId="44" xfId="0" applyFont="1" applyBorder="1" applyAlignment="1"/>
    <xf numFmtId="0" fontId="0" fillId="0" borderId="17" xfId="0" applyBorder="1" applyAlignment="1"/>
    <xf numFmtId="49" fontId="3" fillId="0" borderId="2" xfId="0" applyNumberFormat="1" applyFont="1" applyBorder="1" applyAlignment="1">
      <alignment horizontal="center"/>
    </xf>
    <xf numFmtId="0" fontId="3" fillId="0" borderId="2" xfId="0" applyFont="1" applyBorder="1" applyAlignment="1">
      <alignment horizontal="center"/>
    </xf>
    <xf numFmtId="0" fontId="0" fillId="0" borderId="4" xfId="0" applyBorder="1" applyAlignment="1"/>
    <xf numFmtId="0" fontId="3" fillId="0" borderId="0" xfId="0" applyFont="1" applyBorder="1" applyAlignment="1">
      <alignment horizontal="left" vertical="top"/>
    </xf>
    <xf numFmtId="0" fontId="3" fillId="0" borderId="7" xfId="0" applyFont="1" applyBorder="1" applyAlignment="1">
      <alignment horizontal="left" vertical="top"/>
    </xf>
    <xf numFmtId="0" fontId="0" fillId="0" borderId="20" xfId="0" applyBorder="1" applyAlignment="1">
      <alignment vertical="top"/>
    </xf>
    <xf numFmtId="0" fontId="0" fillId="0" borderId="10" xfId="0" applyBorder="1" applyAlignment="1">
      <alignment vertical="top"/>
    </xf>
    <xf numFmtId="0" fontId="3" fillId="0" borderId="37" xfId="0" applyFont="1" applyBorder="1" applyAlignment="1">
      <alignment horizontal="center" wrapText="1"/>
    </xf>
    <xf numFmtId="0" fontId="3" fillId="0" borderId="20" xfId="0" applyFont="1" applyBorder="1" applyAlignment="1">
      <alignment horizontal="center" wrapText="1"/>
    </xf>
    <xf numFmtId="0" fontId="3" fillId="0" borderId="10" xfId="0" applyFont="1" applyBorder="1" applyAlignment="1">
      <alignment horizontal="center" wrapText="1"/>
    </xf>
    <xf numFmtId="2" fontId="0" fillId="0" borderId="4" xfId="0" applyNumberFormat="1" applyBorder="1" applyAlignment="1">
      <alignment horizontal="center"/>
    </xf>
    <xf numFmtId="0" fontId="0" fillId="0" borderId="29" xfId="0" applyBorder="1" applyAlignment="1">
      <alignment horizontal="center"/>
    </xf>
    <xf numFmtId="0" fontId="6" fillId="0" borderId="29" xfId="0" applyFont="1" applyBorder="1" applyAlignment="1">
      <alignment horizontal="center"/>
    </xf>
    <xf numFmtId="0" fontId="3" fillId="0" borderId="14" xfId="0" applyFont="1" applyBorder="1" applyAlignment="1">
      <alignment horizontal="center" wrapText="1"/>
    </xf>
    <xf numFmtId="0" fontId="0" fillId="0" borderId="14" xfId="0" applyBorder="1" applyAlignment="1">
      <alignment horizontal="center" wrapText="1"/>
    </xf>
    <xf numFmtId="0" fontId="0" fillId="0" borderId="31" xfId="0" applyBorder="1" applyAlignment="1">
      <alignment horizontal="center" wrapText="1"/>
    </xf>
    <xf numFmtId="0" fontId="6" fillId="0" borderId="12" xfId="0" applyFont="1" applyBorder="1" applyAlignment="1">
      <alignment horizontal="center"/>
    </xf>
    <xf numFmtId="0" fontId="0" fillId="0" borderId="14" xfId="0" applyBorder="1" applyAlignment="1">
      <alignment wrapText="1"/>
    </xf>
    <xf numFmtId="0" fontId="0" fillId="0" borderId="31" xfId="0" applyBorder="1" applyAlignment="1">
      <alignment wrapText="1"/>
    </xf>
    <xf numFmtId="0" fontId="3" fillId="0" borderId="21" xfId="0" applyFont="1" applyBorder="1" applyAlignment="1">
      <alignment horizontal="center" wrapText="1"/>
    </xf>
    <xf numFmtId="0" fontId="3" fillId="0" borderId="12" xfId="0" applyFont="1" applyBorder="1" applyAlignment="1">
      <alignment horizontal="center" wrapText="1"/>
    </xf>
    <xf numFmtId="0" fontId="3" fillId="0" borderId="9" xfId="0" applyFont="1" applyBorder="1" applyAlignment="1">
      <alignment horizontal="center"/>
    </xf>
    <xf numFmtId="0" fontId="3" fillId="0" borderId="30" xfId="0" applyFont="1" applyBorder="1" applyAlignment="1">
      <alignment horizontal="center"/>
    </xf>
    <xf numFmtId="49" fontId="1" fillId="0" borderId="12" xfId="0" applyNumberFormat="1" applyFont="1" applyBorder="1" applyAlignment="1">
      <alignment horizontal="center"/>
    </xf>
    <xf numFmtId="49" fontId="6" fillId="0" borderId="2" xfId="0" applyNumberFormat="1" applyFont="1" applyBorder="1" applyAlignment="1">
      <alignment horizontal="center"/>
    </xf>
    <xf numFmtId="0" fontId="3" fillId="0" borderId="9" xfId="0" applyFont="1" applyBorder="1" applyAlignment="1">
      <alignment horizontal="center" vertical="top"/>
    </xf>
    <xf numFmtId="0" fontId="3" fillId="0" borderId="30" xfId="0" applyFont="1" applyBorder="1" applyAlignment="1">
      <alignment horizontal="center" vertical="top"/>
    </xf>
    <xf numFmtId="0" fontId="0" fillId="0" borderId="43" xfId="0" applyBorder="1" applyAlignment="1">
      <alignment horizontal="center" vertical="top"/>
    </xf>
    <xf numFmtId="0" fontId="0" fillId="0" borderId="20" xfId="0" applyBorder="1" applyAlignment="1">
      <alignment horizontal="center" vertical="top"/>
    </xf>
    <xf numFmtId="0" fontId="1" fillId="0" borderId="2" xfId="0" applyFont="1" applyBorder="1" applyAlignment="1">
      <alignment horizontal="center" vertical="top" wrapText="1"/>
    </xf>
    <xf numFmtId="0" fontId="0" fillId="0" borderId="4" xfId="0" applyBorder="1" applyAlignment="1">
      <alignment horizontal="center" vertical="top" wrapText="1"/>
    </xf>
    <xf numFmtId="164" fontId="0" fillId="3" borderId="5" xfId="0" applyNumberFormat="1" applyFill="1" applyBorder="1" applyAlignment="1">
      <alignment horizontal="center"/>
    </xf>
    <xf numFmtId="164" fontId="0" fillId="3" borderId="6" xfId="0" applyNumberFormat="1" applyFill="1" applyBorder="1" applyAlignment="1">
      <alignment horizontal="center"/>
    </xf>
    <xf numFmtId="0" fontId="0" fillId="0" borderId="2" xfId="0" applyBorder="1" applyAlignment="1">
      <alignment horizontal="center" wrapText="1"/>
    </xf>
    <xf numFmtId="0" fontId="3" fillId="0" borderId="10" xfId="0" applyFont="1" applyBorder="1" applyAlignment="1">
      <alignment horizontal="left" vertical="top"/>
    </xf>
    <xf numFmtId="0" fontId="3" fillId="0" borderId="3" xfId="0" applyFont="1" applyBorder="1" applyAlignment="1">
      <alignment horizontal="left" vertical="top"/>
    </xf>
    <xf numFmtId="0" fontId="3" fillId="0" borderId="3" xfId="0" applyFont="1" applyFill="1" applyBorder="1" applyAlignment="1">
      <alignment horizontal="center"/>
    </xf>
    <xf numFmtId="0" fontId="3" fillId="0" borderId="3" xfId="0" applyFont="1" applyBorder="1" applyAlignment="1">
      <alignment horizontal="center"/>
    </xf>
    <xf numFmtId="0" fontId="0" fillId="0" borderId="3" xfId="0" applyBorder="1" applyAlignment="1"/>
    <xf numFmtId="0" fontId="0" fillId="0" borderId="43" xfId="0" applyBorder="1" applyAlignment="1"/>
    <xf numFmtId="49" fontId="1" fillId="0" borderId="13" xfId="0" applyNumberFormat="1" applyFont="1" applyFill="1" applyBorder="1" applyAlignment="1">
      <alignment horizontal="center"/>
    </xf>
    <xf numFmtId="0" fontId="0" fillId="0" borderId="5" xfId="0" applyBorder="1" applyAlignment="1">
      <alignment horizontal="center"/>
    </xf>
    <xf numFmtId="164" fontId="6" fillId="0" borderId="5" xfId="0" applyNumberFormat="1" applyFont="1" applyFill="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1" fontId="1" fillId="0" borderId="13" xfId="0" applyNumberFormat="1" applyFont="1" applyFill="1" applyBorder="1" applyAlignment="1">
      <alignment horizontal="center"/>
    </xf>
    <xf numFmtId="0" fontId="0" fillId="0" borderId="4" xfId="0" applyBorder="1" applyAlignment="1">
      <alignment wrapText="1"/>
    </xf>
    <xf numFmtId="0" fontId="0" fillId="0" borderId="12" xfId="0" applyFill="1" applyBorder="1" applyAlignment="1">
      <alignment vertical="top"/>
    </xf>
    <xf numFmtId="0" fontId="1" fillId="0" borderId="12" xfId="0" applyFont="1" applyBorder="1" applyAlignment="1">
      <alignment horizontal="center"/>
    </xf>
    <xf numFmtId="1" fontId="1" fillId="0" borderId="12" xfId="0" applyNumberFormat="1" applyFont="1" applyFill="1" applyBorder="1" applyAlignment="1">
      <alignment horizontal="center"/>
    </xf>
    <xf numFmtId="0" fontId="3" fillId="0" borderId="14" xfId="0" applyFont="1" applyBorder="1" applyAlignment="1">
      <alignment horizontal="left" wrapText="1"/>
    </xf>
    <xf numFmtId="0" fontId="0" fillId="0" borderId="0" xfId="0" applyBorder="1" applyAlignment="1">
      <alignment wrapText="1"/>
    </xf>
    <xf numFmtId="1" fontId="1" fillId="0" borderId="21" xfId="0" applyNumberFormat="1" applyFont="1" applyFill="1" applyBorder="1" applyAlignment="1">
      <alignment horizontal="center"/>
    </xf>
    <xf numFmtId="2" fontId="0" fillId="0" borderId="5" xfId="0" applyNumberFormat="1" applyFill="1" applyBorder="1" applyAlignment="1">
      <alignment horizontal="center"/>
    </xf>
    <xf numFmtId="2" fontId="0" fillId="0" borderId="6" xfId="0" applyNumberFormat="1" applyFill="1" applyBorder="1" applyAlignment="1">
      <alignment horizontal="center"/>
    </xf>
    <xf numFmtId="2" fontId="0" fillId="0" borderId="4" xfId="0" applyNumberFormat="1" applyFill="1" applyBorder="1" applyAlignment="1">
      <alignment horizontal="center"/>
    </xf>
    <xf numFmtId="2" fontId="0" fillId="0" borderId="2" xfId="0" applyNumberFormat="1" applyBorder="1" applyAlignment="1">
      <alignment horizontal="center"/>
    </xf>
    <xf numFmtId="0" fontId="1" fillId="0" borderId="1" xfId="0" applyFont="1" applyFill="1" applyBorder="1" applyAlignment="1">
      <alignment horizontal="center"/>
    </xf>
    <xf numFmtId="2" fontId="0" fillId="0" borderId="5" xfId="0" applyNumberFormat="1" applyBorder="1" applyAlignment="1">
      <alignment horizontal="center"/>
    </xf>
    <xf numFmtId="0" fontId="0" fillId="0" borderId="6" xfId="0" applyBorder="1" applyAlignment="1">
      <alignment horizontal="center"/>
    </xf>
    <xf numFmtId="49" fontId="1" fillId="0" borderId="13" xfId="0" applyNumberFormat="1" applyFont="1" applyBorder="1" applyAlignment="1">
      <alignment horizontal="center"/>
    </xf>
    <xf numFmtId="49" fontId="6" fillId="0" borderId="5" xfId="0" applyNumberFormat="1" applyFont="1" applyBorder="1" applyAlignment="1">
      <alignment horizontal="center"/>
    </xf>
    <xf numFmtId="0" fontId="2" fillId="0" borderId="30" xfId="0" applyFont="1" applyBorder="1" applyAlignment="1">
      <alignment vertical="top" wrapText="1"/>
    </xf>
    <xf numFmtId="0" fontId="0" fillId="0" borderId="30" xfId="0" applyBorder="1" applyAlignment="1">
      <alignment vertical="top" wrapText="1"/>
    </xf>
    <xf numFmtId="0" fontId="0" fillId="0" borderId="0" xfId="0" applyAlignment="1">
      <alignment vertical="top" wrapText="1"/>
    </xf>
    <xf numFmtId="49" fontId="3" fillId="0" borderId="3" xfId="0" applyNumberFormat="1" applyFont="1" applyBorder="1" applyAlignment="1">
      <alignment horizontal="center"/>
    </xf>
    <xf numFmtId="49" fontId="1" fillId="0" borderId="8" xfId="0" applyNumberFormat="1" applyFont="1" applyBorder="1" applyAlignment="1">
      <alignment horizontal="center"/>
    </xf>
    <xf numFmtId="49" fontId="6" fillId="0" borderId="15" xfId="0" applyNumberFormat="1" applyFont="1" applyBorder="1" applyAlignment="1">
      <alignment horizontal="center"/>
    </xf>
    <xf numFmtId="0" fontId="1" fillId="0" borderId="15" xfId="0" applyFont="1" applyBorder="1" applyAlignment="1">
      <alignment horizontal="center" vertical="top"/>
    </xf>
    <xf numFmtId="0" fontId="0" fillId="0" borderId="3" xfId="0" applyBorder="1" applyAlignment="1">
      <alignment horizontal="center" vertical="top"/>
    </xf>
    <xf numFmtId="0" fontId="1" fillId="0" borderId="16" xfId="0" applyFont="1" applyBorder="1" applyAlignment="1">
      <alignment horizontal="center" vertical="top" wrapText="1"/>
    </xf>
    <xf numFmtId="0" fontId="0" fillId="0" borderId="43" xfId="0" applyBorder="1" applyAlignment="1">
      <alignment horizontal="center" vertical="top" wrapText="1"/>
    </xf>
    <xf numFmtId="0" fontId="0" fillId="0" borderId="46" xfId="0" applyBorder="1" applyAlignment="1">
      <alignment horizontal="center" vertical="top" wrapText="1"/>
    </xf>
    <xf numFmtId="49" fontId="1" fillId="0" borderId="12" xfId="0" applyNumberFormat="1" applyFont="1" applyFill="1" applyBorder="1" applyAlignment="1">
      <alignment horizontal="center"/>
    </xf>
    <xf numFmtId="164" fontId="6" fillId="0" borderId="2" xfId="0" applyNumberFormat="1" applyFont="1" applyFill="1" applyBorder="1" applyAlignment="1">
      <alignment horizontal="center"/>
    </xf>
    <xf numFmtId="164" fontId="0" fillId="3" borderId="2" xfId="0" applyNumberFormat="1" applyFill="1" applyBorder="1" applyAlignment="1">
      <alignment horizontal="center"/>
    </xf>
    <xf numFmtId="164" fontId="0" fillId="3" borderId="4" xfId="0" applyNumberFormat="1" applyFill="1" applyBorder="1" applyAlignment="1">
      <alignment horizontal="center"/>
    </xf>
    <xf numFmtId="0" fontId="1" fillId="0" borderId="29" xfId="0" applyFont="1" applyBorder="1" applyAlignment="1">
      <alignment horizontal="center"/>
    </xf>
    <xf numFmtId="49" fontId="3" fillId="0" borderId="36" xfId="0" applyNumberFormat="1" applyFont="1" applyFill="1" applyBorder="1" applyAlignment="1">
      <alignment horizontal="center"/>
    </xf>
    <xf numFmtId="0" fontId="3" fillId="0" borderId="36" xfId="0" applyFont="1" applyBorder="1" applyAlignment="1">
      <alignment horizontal="center"/>
    </xf>
    <xf numFmtId="0" fontId="0" fillId="0" borderId="34" xfId="0" applyBorder="1" applyAlignment="1">
      <alignment horizontal="center" vertical="top" wrapText="1"/>
    </xf>
    <xf numFmtId="0" fontId="0" fillId="0" borderId="0" xfId="0" applyAlignment="1">
      <alignment vertical="top"/>
    </xf>
    <xf numFmtId="0" fontId="0" fillId="0" borderId="7" xfId="0" applyBorder="1" applyAlignment="1">
      <alignment vertical="top"/>
    </xf>
    <xf numFmtId="0" fontId="0" fillId="0" borderId="46" xfId="0" applyBorder="1" applyAlignment="1">
      <alignment horizontal="center" vertical="top"/>
    </xf>
  </cellXfs>
  <cellStyles count="2">
    <cellStyle name="Hyperlink" xfId="1" builtinId="8"/>
    <cellStyle name="Normal" xfId="0" builtinId="0"/>
  </cellStyles>
  <dxfs count="4">
    <dxf>
      <font>
        <b/>
        <i val="0"/>
        <color rgb="FFC00000"/>
      </font>
    </dxf>
    <dxf>
      <font>
        <b/>
        <i val="0"/>
        <color rgb="FFC00000"/>
      </font>
    </dxf>
    <dxf>
      <font>
        <b/>
        <i val="0"/>
        <color rgb="FFC00000"/>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11</xdr:row>
      <xdr:rowOff>137160</xdr:rowOff>
    </xdr:from>
    <xdr:to>
      <xdr:col>14</xdr:col>
      <xdr:colOff>3255645</xdr:colOff>
      <xdr:row>29</xdr:row>
      <xdr:rowOff>57150</xdr:rowOff>
    </xdr:to>
    <xdr:pic>
      <xdr:nvPicPr>
        <xdr:cNvPr id="4116" name="Picture 1">
          <a:extLst>
            <a:ext uri="{FF2B5EF4-FFF2-40B4-BE49-F238E27FC236}">
              <a16:creationId xmlns:a16="http://schemas.microsoft.com/office/drawing/2014/main" id="{22FF5F49-EEB7-472C-B1EC-7709495CC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0760" y="2072640"/>
          <a:ext cx="3268980" cy="3101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highwaysafetymanua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P97"/>
  <sheetViews>
    <sheetView showGridLines="0" tabSelected="1" workbookViewId="0">
      <selection activeCell="B6" sqref="B6:I11"/>
    </sheetView>
  </sheetViews>
  <sheetFormatPr defaultRowHeight="12.75" x14ac:dyDescent="0.2"/>
  <sheetData>
    <row r="2" spans="2:16" x14ac:dyDescent="0.2">
      <c r="B2" s="232" t="s">
        <v>323</v>
      </c>
      <c r="C2" s="232"/>
      <c r="D2" s="232"/>
      <c r="E2" s="232"/>
      <c r="F2" s="232"/>
      <c r="G2" s="232"/>
      <c r="H2" s="232"/>
      <c r="I2" s="232"/>
      <c r="J2" s="232"/>
      <c r="K2" s="232"/>
      <c r="L2" s="232"/>
      <c r="M2" s="232"/>
      <c r="N2" s="232"/>
      <c r="O2" s="232"/>
      <c r="P2" s="232"/>
    </row>
    <row r="4" spans="2:16" x14ac:dyDescent="0.2">
      <c r="B4" s="120" t="s">
        <v>287</v>
      </c>
      <c r="K4" s="120" t="s">
        <v>289</v>
      </c>
    </row>
    <row r="6" spans="2:16" ht="13.15" customHeight="1" x14ac:dyDescent="0.2">
      <c r="B6" s="221" t="s">
        <v>378</v>
      </c>
      <c r="C6" s="221"/>
      <c r="D6" s="221"/>
      <c r="E6" s="221"/>
      <c r="F6" s="221"/>
      <c r="G6" s="221"/>
      <c r="H6" s="221"/>
      <c r="I6" s="221"/>
      <c r="K6" s="221" t="s">
        <v>377</v>
      </c>
      <c r="L6" s="221"/>
      <c r="M6" s="221"/>
      <c r="N6" s="221"/>
      <c r="O6" s="221"/>
      <c r="P6" s="221"/>
    </row>
    <row r="7" spans="2:16" x14ac:dyDescent="0.2">
      <c r="B7" s="221"/>
      <c r="C7" s="221"/>
      <c r="D7" s="221"/>
      <c r="E7" s="221"/>
      <c r="F7" s="221"/>
      <c r="G7" s="221"/>
      <c r="H7" s="221"/>
      <c r="I7" s="221"/>
      <c r="K7" s="221"/>
      <c r="L7" s="221"/>
      <c r="M7" s="221"/>
      <c r="N7" s="221"/>
      <c r="O7" s="221"/>
      <c r="P7" s="221"/>
    </row>
    <row r="8" spans="2:16" x14ac:dyDescent="0.2">
      <c r="B8" s="221"/>
      <c r="C8" s="221"/>
      <c r="D8" s="221"/>
      <c r="E8" s="221"/>
      <c r="F8" s="221"/>
      <c r="G8" s="221"/>
      <c r="H8" s="221"/>
      <c r="I8" s="221"/>
      <c r="K8" s="221"/>
      <c r="L8" s="221"/>
      <c r="M8" s="221"/>
      <c r="N8" s="221"/>
      <c r="O8" s="221"/>
      <c r="P8" s="221"/>
    </row>
    <row r="9" spans="2:16" x14ac:dyDescent="0.2">
      <c r="B9" s="221"/>
      <c r="C9" s="221"/>
      <c r="D9" s="221"/>
      <c r="E9" s="221"/>
      <c r="F9" s="221"/>
      <c r="G9" s="221"/>
      <c r="H9" s="221"/>
      <c r="I9" s="221"/>
      <c r="K9" s="221"/>
      <c r="L9" s="221"/>
      <c r="M9" s="221"/>
      <c r="N9" s="221"/>
      <c r="O9" s="221"/>
      <c r="P9" s="221"/>
    </row>
    <row r="10" spans="2:16" x14ac:dyDescent="0.2">
      <c r="B10" s="221"/>
      <c r="C10" s="221"/>
      <c r="D10" s="221"/>
      <c r="E10" s="221"/>
      <c r="F10" s="221"/>
      <c r="G10" s="221"/>
      <c r="H10" s="221"/>
      <c r="I10" s="221"/>
      <c r="K10" s="221"/>
      <c r="L10" s="221"/>
      <c r="M10" s="221"/>
      <c r="N10" s="221"/>
      <c r="O10" s="221"/>
      <c r="P10" s="221"/>
    </row>
    <row r="11" spans="2:16" x14ac:dyDescent="0.2">
      <c r="B11" s="221"/>
      <c r="C11" s="221"/>
      <c r="D11" s="221"/>
      <c r="E11" s="221"/>
      <c r="F11" s="221"/>
      <c r="G11" s="221"/>
      <c r="H11" s="221"/>
      <c r="I11" s="221"/>
      <c r="K11" s="221"/>
      <c r="L11" s="221"/>
      <c r="M11" s="221"/>
      <c r="N11" s="221"/>
      <c r="O11" s="221"/>
      <c r="P11" s="221"/>
    </row>
    <row r="13" spans="2:16" x14ac:dyDescent="0.2">
      <c r="B13" s="26"/>
      <c r="K13" s="120" t="s">
        <v>290</v>
      </c>
      <c r="M13" s="120" t="s">
        <v>291</v>
      </c>
    </row>
    <row r="14" spans="2:16" ht="13.15" customHeight="1" x14ac:dyDescent="0.2">
      <c r="B14" s="222" t="s">
        <v>418</v>
      </c>
      <c r="C14" s="222"/>
      <c r="D14" s="222"/>
      <c r="E14" s="222"/>
      <c r="F14" s="222"/>
      <c r="G14" s="222"/>
      <c r="H14" s="222"/>
      <c r="I14" s="222"/>
    </row>
    <row r="15" spans="2:16" ht="13.15" customHeight="1" x14ac:dyDescent="0.2">
      <c r="B15" s="222"/>
      <c r="C15" s="222"/>
      <c r="D15" s="222"/>
      <c r="E15" s="222"/>
      <c r="F15" s="222"/>
      <c r="G15" s="222"/>
      <c r="H15" s="222"/>
      <c r="I15" s="222"/>
      <c r="K15" s="137"/>
      <c r="M15" s="222" t="s">
        <v>374</v>
      </c>
      <c r="N15" s="222"/>
      <c r="O15" s="222"/>
      <c r="P15" s="222"/>
    </row>
    <row r="16" spans="2:16" x14ac:dyDescent="0.2">
      <c r="B16" s="222"/>
      <c r="C16" s="222"/>
      <c r="D16" s="222"/>
      <c r="E16" s="222"/>
      <c r="F16" s="222"/>
      <c r="G16" s="222"/>
      <c r="H16" s="222"/>
      <c r="I16" s="222"/>
      <c r="K16" s="138"/>
      <c r="M16" s="222"/>
      <c r="N16" s="222"/>
      <c r="O16" s="222"/>
      <c r="P16" s="222"/>
    </row>
    <row r="17" spans="2:16" x14ac:dyDescent="0.2">
      <c r="B17" s="222"/>
      <c r="C17" s="222"/>
      <c r="D17" s="222"/>
      <c r="E17" s="222"/>
      <c r="F17" s="222"/>
      <c r="G17" s="222"/>
      <c r="H17" s="222"/>
      <c r="I17" s="222"/>
    </row>
    <row r="18" spans="2:16" ht="13.15" customHeight="1" x14ac:dyDescent="0.2">
      <c r="B18" s="222"/>
      <c r="C18" s="222"/>
      <c r="D18" s="222"/>
      <c r="E18" s="222"/>
      <c r="F18" s="222"/>
      <c r="G18" s="222"/>
      <c r="H18" s="222"/>
      <c r="I18" s="222"/>
      <c r="K18" s="139"/>
      <c r="M18" s="221" t="s">
        <v>375</v>
      </c>
      <c r="N18" s="221"/>
      <c r="O18" s="221"/>
      <c r="P18" s="221"/>
    </row>
    <row r="19" spans="2:16" x14ac:dyDescent="0.2">
      <c r="B19" s="222"/>
      <c r="C19" s="222"/>
      <c r="D19" s="222"/>
      <c r="E19" s="222"/>
      <c r="F19" s="222"/>
      <c r="G19" s="222"/>
      <c r="H19" s="222"/>
      <c r="I19" s="222"/>
      <c r="K19" s="140"/>
      <c r="M19" s="221"/>
      <c r="N19" s="221"/>
      <c r="O19" s="221"/>
      <c r="P19" s="221"/>
    </row>
    <row r="20" spans="2:16" x14ac:dyDescent="0.2">
      <c r="B20" s="222"/>
      <c r="C20" s="222"/>
      <c r="D20" s="222"/>
      <c r="E20" s="222"/>
      <c r="F20" s="222"/>
      <c r="G20" s="222"/>
      <c r="H20" s="222"/>
      <c r="I20" s="222"/>
      <c r="M20" s="221"/>
      <c r="N20" s="221"/>
      <c r="O20" s="221"/>
      <c r="P20" s="221"/>
    </row>
    <row r="21" spans="2:16" x14ac:dyDescent="0.2">
      <c r="B21" s="222"/>
      <c r="C21" s="222"/>
      <c r="D21" s="222"/>
      <c r="E21" s="222"/>
      <c r="F21" s="222"/>
      <c r="G21" s="222"/>
      <c r="H21" s="222"/>
      <c r="I21" s="222"/>
    </row>
    <row r="22" spans="2:16" ht="13.15" customHeight="1" x14ac:dyDescent="0.2">
      <c r="B22" s="26" t="s">
        <v>284</v>
      </c>
      <c r="K22" s="141"/>
      <c r="M22" s="222" t="s">
        <v>376</v>
      </c>
      <c r="N22" s="222"/>
      <c r="O22" s="222"/>
      <c r="P22" s="222"/>
    </row>
    <row r="23" spans="2:16" x14ac:dyDescent="0.2">
      <c r="K23" s="142"/>
      <c r="M23" s="222"/>
      <c r="N23" s="222"/>
      <c r="O23" s="222"/>
      <c r="P23" s="222"/>
    </row>
    <row r="24" spans="2:16" x14ac:dyDescent="0.2">
      <c r="B24" s="120" t="s">
        <v>285</v>
      </c>
      <c r="E24" s="121" t="s">
        <v>286</v>
      </c>
      <c r="M24" s="222"/>
      <c r="N24" s="222"/>
      <c r="O24" s="222"/>
      <c r="P24" s="222"/>
    </row>
    <row r="25" spans="2:16" x14ac:dyDescent="0.2">
      <c r="M25" s="222"/>
      <c r="N25" s="222"/>
      <c r="O25" s="222"/>
      <c r="P25" s="222"/>
    </row>
    <row r="26" spans="2:16" x14ac:dyDescent="0.2">
      <c r="B26" s="26" t="s">
        <v>288</v>
      </c>
      <c r="E26" s="221" t="s">
        <v>379</v>
      </c>
      <c r="F26" s="221"/>
      <c r="G26" s="221"/>
      <c r="H26" s="221"/>
      <c r="I26" s="221"/>
      <c r="M26" s="222"/>
      <c r="N26" s="222"/>
      <c r="O26" s="222"/>
      <c r="P26" s="222"/>
    </row>
    <row r="27" spans="2:16" x14ac:dyDescent="0.2">
      <c r="E27" s="221"/>
      <c r="F27" s="221"/>
      <c r="G27" s="221"/>
      <c r="H27" s="221"/>
      <c r="I27" s="221"/>
      <c r="M27" s="222"/>
      <c r="N27" s="222"/>
      <c r="O27" s="222"/>
      <c r="P27" s="222"/>
    </row>
    <row r="28" spans="2:16" x14ac:dyDescent="0.2">
      <c r="E28" s="221"/>
      <c r="F28" s="221"/>
      <c r="G28" s="221"/>
      <c r="H28" s="221"/>
      <c r="I28" s="221"/>
      <c r="M28" s="222"/>
      <c r="N28" s="222"/>
      <c r="O28" s="222"/>
      <c r="P28" s="222"/>
    </row>
    <row r="29" spans="2:16" x14ac:dyDescent="0.2">
      <c r="M29" s="222"/>
      <c r="N29" s="222"/>
      <c r="O29" s="222"/>
      <c r="P29" s="222"/>
    </row>
    <row r="30" spans="2:16" x14ac:dyDescent="0.2">
      <c r="B30" s="26" t="s">
        <v>427</v>
      </c>
      <c r="E30" s="221" t="s">
        <v>419</v>
      </c>
      <c r="F30" s="221"/>
      <c r="G30" s="221"/>
      <c r="H30" s="221"/>
      <c r="I30" s="221"/>
      <c r="M30" s="222"/>
      <c r="N30" s="222"/>
      <c r="O30" s="222"/>
      <c r="P30" s="222"/>
    </row>
    <row r="31" spans="2:16" x14ac:dyDescent="0.2">
      <c r="E31" s="221"/>
      <c r="F31" s="221"/>
      <c r="G31" s="221"/>
      <c r="H31" s="221"/>
      <c r="I31" s="221"/>
      <c r="M31" s="222"/>
      <c r="N31" s="222"/>
      <c r="O31" s="222"/>
      <c r="P31" s="222"/>
    </row>
    <row r="32" spans="2:16" x14ac:dyDescent="0.2">
      <c r="E32" s="221"/>
      <c r="F32" s="221"/>
      <c r="G32" s="221"/>
      <c r="H32" s="221"/>
      <c r="I32" s="221"/>
      <c r="M32" s="222"/>
      <c r="N32" s="222"/>
      <c r="O32" s="222"/>
      <c r="P32" s="222"/>
    </row>
    <row r="33" spans="2:16" x14ac:dyDescent="0.2">
      <c r="E33" s="221"/>
      <c r="F33" s="221"/>
      <c r="G33" s="221"/>
      <c r="H33" s="221"/>
      <c r="I33" s="221"/>
      <c r="M33" s="222"/>
      <c r="N33" s="222"/>
      <c r="O33" s="222"/>
      <c r="P33" s="222"/>
    </row>
    <row r="34" spans="2:16" x14ac:dyDescent="0.2">
      <c r="M34" s="222"/>
      <c r="N34" s="222"/>
      <c r="O34" s="222"/>
      <c r="P34" s="222"/>
    </row>
    <row r="35" spans="2:16" x14ac:dyDescent="0.2">
      <c r="B35" s="26" t="s">
        <v>428</v>
      </c>
      <c r="E35" s="221" t="s">
        <v>420</v>
      </c>
      <c r="F35" s="221"/>
      <c r="G35" s="221"/>
      <c r="H35" s="221"/>
      <c r="I35" s="221"/>
    </row>
    <row r="36" spans="2:16" x14ac:dyDescent="0.2">
      <c r="E36" s="221"/>
      <c r="F36" s="221"/>
      <c r="G36" s="221"/>
      <c r="H36" s="221"/>
      <c r="I36" s="221"/>
    </row>
    <row r="37" spans="2:16" x14ac:dyDescent="0.2">
      <c r="E37" s="221"/>
      <c r="F37" s="221"/>
      <c r="G37" s="221"/>
      <c r="H37" s="221"/>
      <c r="I37" s="221"/>
      <c r="K37" s="152" t="s">
        <v>353</v>
      </c>
      <c r="L37" s="152"/>
      <c r="M37" s="152"/>
    </row>
    <row r="38" spans="2:16" x14ac:dyDescent="0.2">
      <c r="E38" s="221"/>
      <c r="F38" s="221"/>
      <c r="G38" s="221"/>
      <c r="H38" s="221"/>
      <c r="I38" s="221"/>
      <c r="L38" t="s">
        <v>354</v>
      </c>
    </row>
    <row r="39" spans="2:16" x14ac:dyDescent="0.2">
      <c r="L39" t="s">
        <v>356</v>
      </c>
    </row>
    <row r="40" spans="2:16" x14ac:dyDescent="0.2">
      <c r="B40" s="26" t="s">
        <v>429</v>
      </c>
      <c r="E40" s="222" t="s">
        <v>421</v>
      </c>
      <c r="F40" s="222"/>
      <c r="G40" s="222"/>
      <c r="H40" s="222"/>
      <c r="I40" s="222"/>
      <c r="L40" t="s">
        <v>357</v>
      </c>
    </row>
    <row r="41" spans="2:16" x14ac:dyDescent="0.2">
      <c r="E41" s="222"/>
      <c r="F41" s="222"/>
      <c r="G41" s="222"/>
      <c r="H41" s="222"/>
      <c r="I41" s="222"/>
      <c r="L41" t="s">
        <v>358</v>
      </c>
    </row>
    <row r="42" spans="2:16" x14ac:dyDescent="0.2">
      <c r="E42" s="222"/>
      <c r="F42" s="222"/>
      <c r="G42" s="222"/>
      <c r="H42" s="222"/>
      <c r="I42" s="222"/>
    </row>
    <row r="43" spans="2:16" x14ac:dyDescent="0.2">
      <c r="E43" s="222"/>
      <c r="F43" s="222"/>
      <c r="G43" s="222"/>
      <c r="H43" s="222"/>
      <c r="I43" s="222"/>
      <c r="L43" t="s">
        <v>359</v>
      </c>
    </row>
    <row r="44" spans="2:16" x14ac:dyDescent="0.2">
      <c r="L44" t="s">
        <v>360</v>
      </c>
    </row>
    <row r="45" spans="2:16" x14ac:dyDescent="0.2">
      <c r="B45" s="219" t="s">
        <v>422</v>
      </c>
      <c r="E45" s="221" t="s">
        <v>424</v>
      </c>
      <c r="F45" s="221"/>
      <c r="G45" s="221"/>
      <c r="H45" s="221"/>
      <c r="I45" s="221"/>
    </row>
    <row r="46" spans="2:16" x14ac:dyDescent="0.2">
      <c r="E46" s="221"/>
      <c r="F46" s="221"/>
      <c r="G46" s="221"/>
      <c r="H46" s="221"/>
      <c r="I46" s="221"/>
    </row>
    <row r="47" spans="2:16" x14ac:dyDescent="0.2">
      <c r="E47" s="221"/>
      <c r="F47" s="221"/>
      <c r="G47" s="221"/>
      <c r="H47" s="221"/>
      <c r="I47" s="221"/>
      <c r="K47" s="152" t="s">
        <v>364</v>
      </c>
    </row>
    <row r="48" spans="2:16" x14ac:dyDescent="0.2">
      <c r="E48" s="221"/>
      <c r="F48" s="221"/>
      <c r="G48" s="221"/>
      <c r="H48" s="221"/>
      <c r="I48" s="221"/>
      <c r="L48" s="26" t="s">
        <v>432</v>
      </c>
    </row>
    <row r="49" spans="2:12" x14ac:dyDescent="0.2">
      <c r="E49" s="221"/>
      <c r="F49" s="221"/>
      <c r="G49" s="221"/>
      <c r="H49" s="221"/>
      <c r="I49" s="221"/>
      <c r="L49" t="s">
        <v>431</v>
      </c>
    </row>
    <row r="50" spans="2:12" x14ac:dyDescent="0.2">
      <c r="E50" s="221"/>
      <c r="F50" s="221"/>
      <c r="G50" s="221"/>
      <c r="H50" s="221"/>
      <c r="I50" s="221"/>
    </row>
    <row r="51" spans="2:12" x14ac:dyDescent="0.2">
      <c r="E51" s="221"/>
      <c r="F51" s="221"/>
      <c r="G51" s="221"/>
      <c r="H51" s="221"/>
      <c r="I51" s="221"/>
      <c r="K51" s="152" t="s">
        <v>433</v>
      </c>
    </row>
    <row r="52" spans="2:12" x14ac:dyDescent="0.2">
      <c r="E52" s="221"/>
      <c r="F52" s="221"/>
      <c r="G52" s="221"/>
      <c r="H52" s="221"/>
      <c r="I52" s="221"/>
      <c r="L52" s="220" t="s">
        <v>434</v>
      </c>
    </row>
    <row r="54" spans="2:12" ht="13.15" customHeight="1" x14ac:dyDescent="0.2">
      <c r="B54" s="219" t="s">
        <v>423</v>
      </c>
      <c r="E54" s="221" t="s">
        <v>425</v>
      </c>
      <c r="F54" s="221"/>
      <c r="G54" s="221"/>
      <c r="H54" s="221"/>
      <c r="I54" s="221"/>
    </row>
    <row r="55" spans="2:12" x14ac:dyDescent="0.2">
      <c r="E55" s="221"/>
      <c r="F55" s="221"/>
      <c r="G55" s="221"/>
      <c r="H55" s="221"/>
      <c r="I55" s="221"/>
    </row>
    <row r="56" spans="2:12" x14ac:dyDescent="0.2">
      <c r="E56" s="221"/>
      <c r="F56" s="221"/>
      <c r="G56" s="221"/>
      <c r="H56" s="221"/>
      <c r="I56" s="221"/>
    </row>
    <row r="57" spans="2:12" x14ac:dyDescent="0.2">
      <c r="E57" s="221"/>
      <c r="F57" s="221"/>
      <c r="G57" s="221"/>
      <c r="H57" s="221"/>
      <c r="I57" s="221"/>
    </row>
    <row r="58" spans="2:12" x14ac:dyDescent="0.2">
      <c r="E58" s="221"/>
      <c r="F58" s="221"/>
      <c r="G58" s="221"/>
      <c r="H58" s="221"/>
      <c r="I58" s="221"/>
    </row>
    <row r="59" spans="2:12" x14ac:dyDescent="0.2">
      <c r="E59" s="221"/>
      <c r="F59" s="221"/>
      <c r="G59" s="221"/>
      <c r="H59" s="221"/>
      <c r="I59" s="221"/>
    </row>
    <row r="60" spans="2:12" x14ac:dyDescent="0.2">
      <c r="E60" s="221"/>
      <c r="F60" s="221"/>
      <c r="G60" s="221"/>
      <c r="H60" s="221"/>
      <c r="I60" s="221"/>
    </row>
    <row r="61" spans="2:12" x14ac:dyDescent="0.2">
      <c r="E61" s="221"/>
      <c r="F61" s="221"/>
      <c r="G61" s="221"/>
      <c r="H61" s="221"/>
      <c r="I61" s="221"/>
    </row>
    <row r="62" spans="2:12" x14ac:dyDescent="0.2">
      <c r="E62" s="210"/>
      <c r="F62" s="210"/>
      <c r="G62" s="210"/>
      <c r="H62" s="210"/>
      <c r="I62" s="210"/>
    </row>
    <row r="63" spans="2:12" x14ac:dyDescent="0.2">
      <c r="B63" s="26" t="s">
        <v>384</v>
      </c>
      <c r="E63" s="222" t="s">
        <v>426</v>
      </c>
      <c r="F63" s="222"/>
      <c r="G63" s="222"/>
      <c r="H63" s="222"/>
      <c r="I63" s="222"/>
    </row>
    <row r="64" spans="2:12" x14ac:dyDescent="0.2">
      <c r="E64" s="222"/>
      <c r="F64" s="222"/>
      <c r="G64" s="222"/>
      <c r="H64" s="222"/>
      <c r="I64" s="222"/>
    </row>
    <row r="65" spans="2:9" x14ac:dyDescent="0.2">
      <c r="E65" s="222"/>
      <c r="F65" s="222"/>
      <c r="G65" s="222"/>
      <c r="H65" s="222"/>
      <c r="I65" s="222"/>
    </row>
    <row r="66" spans="2:9" x14ac:dyDescent="0.2">
      <c r="E66" s="222"/>
      <c r="F66" s="222"/>
      <c r="G66" s="222"/>
      <c r="H66" s="222"/>
      <c r="I66" s="222"/>
    </row>
    <row r="67" spans="2:9" x14ac:dyDescent="0.2">
      <c r="E67" s="222"/>
      <c r="F67" s="222"/>
      <c r="G67" s="222"/>
      <c r="H67" s="222"/>
      <c r="I67" s="222"/>
    </row>
    <row r="68" spans="2:9" x14ac:dyDescent="0.2">
      <c r="E68" s="222"/>
      <c r="F68" s="222"/>
      <c r="G68" s="222"/>
      <c r="H68" s="222"/>
      <c r="I68" s="222"/>
    </row>
    <row r="69" spans="2:9" x14ac:dyDescent="0.2">
      <c r="E69" s="222"/>
      <c r="F69" s="222"/>
      <c r="G69" s="222"/>
      <c r="H69" s="222"/>
      <c r="I69" s="222"/>
    </row>
    <row r="70" spans="2:9" x14ac:dyDescent="0.2">
      <c r="E70" s="222"/>
      <c r="F70" s="222"/>
      <c r="G70" s="222"/>
      <c r="H70" s="222"/>
      <c r="I70" s="222"/>
    </row>
    <row r="71" spans="2:9" x14ac:dyDescent="0.2">
      <c r="E71" s="222"/>
      <c r="F71" s="222"/>
      <c r="G71" s="222"/>
      <c r="H71" s="222"/>
      <c r="I71" s="222"/>
    </row>
    <row r="72" spans="2:9" x14ac:dyDescent="0.2">
      <c r="B72" s="26" t="s">
        <v>385</v>
      </c>
      <c r="E72" s="221" t="s">
        <v>380</v>
      </c>
      <c r="F72" s="221"/>
      <c r="G72" s="221"/>
      <c r="H72" s="221"/>
      <c r="I72" s="221"/>
    </row>
    <row r="73" spans="2:9" x14ac:dyDescent="0.2">
      <c r="E73" s="221"/>
      <c r="F73" s="221"/>
      <c r="G73" s="221"/>
      <c r="H73" s="221"/>
      <c r="I73" s="221"/>
    </row>
    <row r="74" spans="2:9" x14ac:dyDescent="0.2">
      <c r="E74" s="221"/>
      <c r="F74" s="221"/>
      <c r="G74" s="221"/>
      <c r="H74" s="221"/>
      <c r="I74" s="221"/>
    </row>
    <row r="75" spans="2:9" x14ac:dyDescent="0.2">
      <c r="E75" s="221"/>
      <c r="F75" s="221"/>
      <c r="G75" s="221"/>
      <c r="H75" s="221"/>
      <c r="I75" s="221"/>
    </row>
    <row r="77" spans="2:9" x14ac:dyDescent="0.2">
      <c r="B77" s="26" t="s">
        <v>387</v>
      </c>
      <c r="E77" s="221" t="s">
        <v>381</v>
      </c>
      <c r="F77" s="221"/>
      <c r="G77" s="221"/>
      <c r="H77" s="221"/>
      <c r="I77" s="221"/>
    </row>
    <row r="78" spans="2:9" x14ac:dyDescent="0.2">
      <c r="E78" s="221"/>
      <c r="F78" s="221"/>
      <c r="G78" s="221"/>
      <c r="H78" s="221"/>
      <c r="I78" s="221"/>
    </row>
    <row r="79" spans="2:9" x14ac:dyDescent="0.2">
      <c r="E79" s="221"/>
      <c r="F79" s="221"/>
      <c r="G79" s="221"/>
      <c r="H79" s="221"/>
      <c r="I79" s="221"/>
    </row>
    <row r="80" spans="2:9" x14ac:dyDescent="0.2">
      <c r="E80" s="221"/>
      <c r="F80" s="221"/>
      <c r="G80" s="221"/>
      <c r="H80" s="221"/>
      <c r="I80" s="221"/>
    </row>
    <row r="81" spans="2:16" x14ac:dyDescent="0.2">
      <c r="E81" s="221"/>
      <c r="F81" s="221"/>
      <c r="G81" s="221"/>
      <c r="H81" s="221"/>
      <c r="I81" s="221"/>
    </row>
    <row r="82" spans="2:16" x14ac:dyDescent="0.2">
      <c r="E82" s="221"/>
      <c r="F82" s="221"/>
      <c r="G82" s="221"/>
      <c r="H82" s="221"/>
      <c r="I82" s="221"/>
    </row>
    <row r="83" spans="2:16" x14ac:dyDescent="0.2">
      <c r="E83" s="221"/>
      <c r="F83" s="221"/>
      <c r="G83" s="221"/>
      <c r="H83" s="221"/>
      <c r="I83" s="221"/>
    </row>
    <row r="84" spans="2:16" x14ac:dyDescent="0.2">
      <c r="E84" s="221"/>
      <c r="F84" s="221"/>
      <c r="G84" s="221"/>
      <c r="H84" s="221"/>
      <c r="I84" s="221"/>
    </row>
    <row r="86" spans="2:16" x14ac:dyDescent="0.2">
      <c r="B86" s="152" t="s">
        <v>365</v>
      </c>
    </row>
    <row r="87" spans="2:16" x14ac:dyDescent="0.2">
      <c r="B87" s="233" t="s">
        <v>366</v>
      </c>
      <c r="C87" s="233"/>
      <c r="D87" s="233" t="s">
        <v>367</v>
      </c>
      <c r="E87" s="233"/>
      <c r="F87" s="233"/>
      <c r="G87" s="233"/>
      <c r="H87" s="233"/>
      <c r="I87" s="233" t="s">
        <v>368</v>
      </c>
      <c r="J87" s="233"/>
      <c r="K87" s="233"/>
      <c r="L87" s="233"/>
      <c r="M87" s="233"/>
      <c r="N87" s="233"/>
      <c r="O87" s="233"/>
      <c r="P87" s="233"/>
    </row>
    <row r="88" spans="2:16" x14ac:dyDescent="0.2">
      <c r="B88" s="234" t="s">
        <v>369</v>
      </c>
      <c r="C88" s="235"/>
      <c r="D88" s="236" t="s">
        <v>370</v>
      </c>
      <c r="E88" s="236"/>
      <c r="F88" s="236"/>
      <c r="G88" s="236"/>
      <c r="H88" s="236"/>
      <c r="I88" s="236" t="s">
        <v>371</v>
      </c>
      <c r="J88" s="235"/>
      <c r="K88" s="235"/>
      <c r="L88" s="235"/>
      <c r="M88" s="235"/>
      <c r="N88" s="235"/>
      <c r="O88" s="235"/>
      <c r="P88" s="237"/>
    </row>
    <row r="89" spans="2:16" ht="43.15" customHeight="1" x14ac:dyDescent="0.2">
      <c r="B89" s="231" t="s">
        <v>372</v>
      </c>
      <c r="C89" s="228"/>
      <c r="D89" s="229" t="s">
        <v>373</v>
      </c>
      <c r="E89" s="229"/>
      <c r="F89" s="229"/>
      <c r="G89" s="229"/>
      <c r="H89" s="229"/>
      <c r="I89" s="229" t="s">
        <v>430</v>
      </c>
      <c r="J89" s="228"/>
      <c r="K89" s="228"/>
      <c r="L89" s="228"/>
      <c r="M89" s="228"/>
      <c r="N89" s="228"/>
      <c r="O89" s="228"/>
      <c r="P89" s="230"/>
    </row>
    <row r="90" spans="2:16" x14ac:dyDescent="0.2">
      <c r="B90" s="227"/>
      <c r="C90" s="228"/>
      <c r="D90" s="229"/>
      <c r="E90" s="229"/>
      <c r="F90" s="229"/>
      <c r="G90" s="229"/>
      <c r="H90" s="229"/>
      <c r="I90" s="228"/>
      <c r="J90" s="228"/>
      <c r="K90" s="228"/>
      <c r="L90" s="228"/>
      <c r="M90" s="228"/>
      <c r="N90" s="228"/>
      <c r="O90" s="228"/>
      <c r="P90" s="230"/>
    </row>
    <row r="91" spans="2:16" x14ac:dyDescent="0.2">
      <c r="B91" s="227"/>
      <c r="C91" s="228"/>
      <c r="D91" s="229"/>
      <c r="E91" s="229"/>
      <c r="F91" s="229"/>
      <c r="G91" s="229"/>
      <c r="H91" s="229"/>
      <c r="I91" s="228"/>
      <c r="J91" s="228"/>
      <c r="K91" s="228"/>
      <c r="L91" s="228"/>
      <c r="M91" s="228"/>
      <c r="N91" s="228"/>
      <c r="O91" s="228"/>
      <c r="P91" s="230"/>
    </row>
    <row r="92" spans="2:16" x14ac:dyDescent="0.2">
      <c r="B92" s="227"/>
      <c r="C92" s="228"/>
      <c r="D92" s="229"/>
      <c r="E92" s="229"/>
      <c r="F92" s="229"/>
      <c r="G92" s="229"/>
      <c r="H92" s="229"/>
      <c r="I92" s="228"/>
      <c r="J92" s="228"/>
      <c r="K92" s="228"/>
      <c r="L92" s="228"/>
      <c r="M92" s="228"/>
      <c r="N92" s="228"/>
      <c r="O92" s="228"/>
      <c r="P92" s="230"/>
    </row>
    <row r="93" spans="2:16" x14ac:dyDescent="0.2">
      <c r="B93" s="227"/>
      <c r="C93" s="228"/>
      <c r="D93" s="229"/>
      <c r="E93" s="229"/>
      <c r="F93" s="229"/>
      <c r="G93" s="229"/>
      <c r="H93" s="229"/>
      <c r="I93" s="228"/>
      <c r="J93" s="228"/>
      <c r="K93" s="228"/>
      <c r="L93" s="228"/>
      <c r="M93" s="228"/>
      <c r="N93" s="228"/>
      <c r="O93" s="228"/>
      <c r="P93" s="230"/>
    </row>
    <row r="94" spans="2:16" x14ac:dyDescent="0.2">
      <c r="B94" s="227"/>
      <c r="C94" s="228"/>
      <c r="D94" s="229"/>
      <c r="E94" s="229"/>
      <c r="F94" s="229"/>
      <c r="G94" s="229"/>
      <c r="H94" s="229"/>
      <c r="I94" s="228"/>
      <c r="J94" s="228"/>
      <c r="K94" s="228"/>
      <c r="L94" s="228"/>
      <c r="M94" s="228"/>
      <c r="N94" s="228"/>
      <c r="O94" s="228"/>
      <c r="P94" s="230"/>
    </row>
    <row r="95" spans="2:16" x14ac:dyDescent="0.2">
      <c r="B95" s="227"/>
      <c r="C95" s="228"/>
      <c r="D95" s="229"/>
      <c r="E95" s="229"/>
      <c r="F95" s="229"/>
      <c r="G95" s="229"/>
      <c r="H95" s="229"/>
      <c r="I95" s="228"/>
      <c r="J95" s="228"/>
      <c r="K95" s="228"/>
      <c r="L95" s="228"/>
      <c r="M95" s="228"/>
      <c r="N95" s="228"/>
      <c r="O95" s="228"/>
      <c r="P95" s="230"/>
    </row>
    <row r="96" spans="2:16" x14ac:dyDescent="0.2">
      <c r="B96" s="227"/>
      <c r="C96" s="228"/>
      <c r="D96" s="229"/>
      <c r="E96" s="229"/>
      <c r="F96" s="229"/>
      <c r="G96" s="229"/>
      <c r="H96" s="229"/>
      <c r="I96" s="228"/>
      <c r="J96" s="228"/>
      <c r="K96" s="228"/>
      <c r="L96" s="228"/>
      <c r="M96" s="228"/>
      <c r="N96" s="228"/>
      <c r="O96" s="228"/>
      <c r="P96" s="230"/>
    </row>
    <row r="97" spans="2:16" x14ac:dyDescent="0.2">
      <c r="B97" s="223"/>
      <c r="C97" s="224"/>
      <c r="D97" s="225"/>
      <c r="E97" s="225"/>
      <c r="F97" s="225"/>
      <c r="G97" s="225"/>
      <c r="H97" s="225"/>
      <c r="I97" s="224"/>
      <c r="J97" s="224"/>
      <c r="K97" s="224"/>
      <c r="L97" s="224"/>
      <c r="M97" s="224"/>
      <c r="N97" s="224"/>
      <c r="O97" s="224"/>
      <c r="P97" s="226"/>
    </row>
  </sheetData>
  <mergeCells count="49">
    <mergeCell ref="B2:P2"/>
    <mergeCell ref="B87:C87"/>
    <mergeCell ref="D87:H87"/>
    <mergeCell ref="I87:P87"/>
    <mergeCell ref="B88:C88"/>
    <mergeCell ref="D88:H88"/>
    <mergeCell ref="I88:P88"/>
    <mergeCell ref="M15:P16"/>
    <mergeCell ref="M18:P20"/>
    <mergeCell ref="M22:P34"/>
    <mergeCell ref="K6:P11"/>
    <mergeCell ref="B6:I11"/>
    <mergeCell ref="E26:I28"/>
    <mergeCell ref="E30:I33"/>
    <mergeCell ref="E35:I38"/>
    <mergeCell ref="B14:I21"/>
    <mergeCell ref="B89:C89"/>
    <mergeCell ref="D89:H89"/>
    <mergeCell ref="I89:P89"/>
    <mergeCell ref="B90:C90"/>
    <mergeCell ref="D90:H90"/>
    <mergeCell ref="I90:P90"/>
    <mergeCell ref="B91:C91"/>
    <mergeCell ref="D91:H91"/>
    <mergeCell ref="I91:P91"/>
    <mergeCell ref="B92:C92"/>
    <mergeCell ref="D92:H92"/>
    <mergeCell ref="I92:P92"/>
    <mergeCell ref="B93:C93"/>
    <mergeCell ref="D93:H93"/>
    <mergeCell ref="I93:P93"/>
    <mergeCell ref="B94:C94"/>
    <mergeCell ref="D94:H94"/>
    <mergeCell ref="I94:P94"/>
    <mergeCell ref="B97:C97"/>
    <mergeCell ref="D97:H97"/>
    <mergeCell ref="I97:P97"/>
    <mergeCell ref="B95:C95"/>
    <mergeCell ref="D95:H95"/>
    <mergeCell ref="I95:P95"/>
    <mergeCell ref="B96:C96"/>
    <mergeCell ref="D96:H96"/>
    <mergeCell ref="I96:P96"/>
    <mergeCell ref="E54:I61"/>
    <mergeCell ref="E77:I84"/>
    <mergeCell ref="E63:I71"/>
    <mergeCell ref="E40:I43"/>
    <mergeCell ref="E72:I75"/>
    <mergeCell ref="E45:I52"/>
  </mergeCells>
  <hyperlinks>
    <hyperlink ref="L52" r:id="rId1" xr:uid="{3487647A-6053-4EB1-B4C0-68D89E9606B2}"/>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BD89"/>
  <sheetViews>
    <sheetView topLeftCell="A7" zoomScale="80" zoomScaleNormal="80" workbookViewId="0">
      <selection activeCell="C34" sqref="C34:E34"/>
    </sheetView>
  </sheetViews>
  <sheetFormatPr defaultColWidth="8.85546875" defaultRowHeight="12.75" x14ac:dyDescent="0.2"/>
  <cols>
    <col min="1" max="1" width="13.140625" style="18" customWidth="1"/>
    <col min="2" max="2" width="14.28515625" style="18" customWidth="1"/>
    <col min="3" max="4" width="11.5703125" style="18" customWidth="1"/>
    <col min="5" max="5" width="11.140625" style="18" customWidth="1"/>
    <col min="6" max="6" width="12.28515625" style="18" customWidth="1"/>
    <col min="7" max="8" width="8.85546875" style="18"/>
    <col min="9" max="9" width="11" style="18" customWidth="1"/>
    <col min="10" max="10" width="8.85546875" style="18"/>
    <col min="11" max="11" width="10.5703125" style="18" customWidth="1"/>
    <col min="12" max="12" width="11.140625" style="18" customWidth="1"/>
    <col min="13" max="13" width="12.28515625" style="18" customWidth="1"/>
    <col min="14" max="14" width="11.28515625" style="18" customWidth="1"/>
    <col min="15" max="17" width="8.85546875" style="18"/>
    <col min="18" max="18" width="11.28515625" style="18" customWidth="1"/>
    <col min="19" max="19" width="11" style="18" customWidth="1"/>
    <col min="20" max="20" width="12" style="18" customWidth="1"/>
    <col min="21" max="21" width="13.28515625" style="18" customWidth="1"/>
    <col min="22" max="22" width="10.28515625" style="18" customWidth="1"/>
    <col min="23" max="23" width="11" style="18" customWidth="1"/>
    <col min="24" max="24" width="10.7109375" style="18" customWidth="1"/>
    <col min="25" max="25" width="13.28515625" style="18" customWidth="1"/>
    <col min="26" max="26" width="10" style="18" customWidth="1"/>
    <col min="27" max="27" width="13.28515625" style="18" customWidth="1"/>
    <col min="28" max="32" width="8.85546875" style="18"/>
    <col min="33" max="33" width="10.7109375" style="18" customWidth="1"/>
    <col min="34" max="36" width="8.85546875" style="18"/>
    <col min="37" max="37" width="10.140625" style="18" customWidth="1"/>
    <col min="38" max="16384" width="8.85546875" style="18"/>
  </cols>
  <sheetData>
    <row r="1" spans="1:56" ht="13.15" customHeight="1" thickBot="1" x14ac:dyDescent="0.25">
      <c r="AQ1" s="90"/>
      <c r="AR1" s="90"/>
      <c r="AS1" s="90"/>
      <c r="AT1" s="90"/>
      <c r="AU1" s="90"/>
      <c r="AV1" s="90"/>
      <c r="AW1" s="90"/>
      <c r="AX1" s="90"/>
      <c r="AY1" s="90"/>
      <c r="AZ1" s="90"/>
      <c r="BA1" s="90"/>
      <c r="BB1" s="90"/>
      <c r="BC1" s="90"/>
      <c r="BD1" s="90"/>
    </row>
    <row r="2" spans="1:56" ht="13.15" customHeight="1" thickTop="1" thickBot="1" x14ac:dyDescent="0.25">
      <c r="A2" s="271" t="s">
        <v>112</v>
      </c>
      <c r="B2" s="328"/>
      <c r="C2" s="328"/>
      <c r="D2" s="328"/>
      <c r="E2" s="347"/>
      <c r="F2" s="347"/>
      <c r="G2" s="347"/>
      <c r="H2" s="347"/>
      <c r="I2" s="347"/>
      <c r="J2" s="347"/>
      <c r="K2" s="347"/>
      <c r="L2" s="347"/>
      <c r="M2" s="347"/>
      <c r="N2" s="347"/>
      <c r="AQ2" s="43"/>
      <c r="AR2" s="43"/>
      <c r="AS2" s="43"/>
      <c r="AT2" s="43"/>
      <c r="AU2" s="90"/>
      <c r="AV2" s="90"/>
      <c r="AW2" s="90"/>
      <c r="AX2" s="90"/>
      <c r="AY2" s="43"/>
      <c r="AZ2" s="43"/>
      <c r="BA2" s="43"/>
      <c r="BB2" s="43"/>
      <c r="BC2" s="43"/>
      <c r="BD2" s="90"/>
    </row>
    <row r="3" spans="1:56" ht="13.15" customHeight="1" x14ac:dyDescent="0.2">
      <c r="A3" s="415" t="s">
        <v>0</v>
      </c>
      <c r="B3" s="416"/>
      <c r="C3" s="416"/>
      <c r="D3" s="416"/>
      <c r="E3" s="416"/>
      <c r="F3" s="416"/>
      <c r="G3" s="417"/>
      <c r="H3" s="418" t="s">
        <v>11</v>
      </c>
      <c r="I3" s="419"/>
      <c r="J3" s="419"/>
      <c r="K3" s="419"/>
      <c r="L3" s="419"/>
      <c r="M3" s="419"/>
      <c r="N3" s="419"/>
      <c r="R3" s="181" t="s">
        <v>334</v>
      </c>
      <c r="AQ3" s="43"/>
      <c r="AR3" s="43"/>
      <c r="AS3" s="43"/>
      <c r="AT3" s="43"/>
      <c r="AU3" s="90"/>
      <c r="AV3" s="90"/>
      <c r="AW3" s="90"/>
      <c r="AX3" s="90"/>
      <c r="AY3" s="43"/>
      <c r="AZ3" s="43"/>
      <c r="BA3" s="43"/>
      <c r="BB3" s="43"/>
      <c r="BC3" s="43"/>
      <c r="BD3" s="90"/>
    </row>
    <row r="4" spans="1:56" ht="13.15" customHeight="1" x14ac:dyDescent="0.2">
      <c r="A4" s="420" t="s">
        <v>1</v>
      </c>
      <c r="B4" s="420"/>
      <c r="C4" s="420"/>
      <c r="D4" s="172"/>
      <c r="E4" s="404" t="s">
        <v>388</v>
      </c>
      <c r="F4" s="400"/>
      <c r="G4" s="421"/>
      <c r="H4" s="422" t="s">
        <v>12</v>
      </c>
      <c r="I4" s="420"/>
      <c r="J4" s="395"/>
      <c r="K4" s="404" t="s">
        <v>391</v>
      </c>
      <c r="L4" s="400"/>
      <c r="M4" s="400"/>
      <c r="N4" s="400"/>
      <c r="AQ4" s="43"/>
      <c r="AR4" s="43"/>
      <c r="AS4" s="43"/>
      <c r="AT4" s="43"/>
      <c r="AU4" s="90"/>
      <c r="AV4" s="90"/>
      <c r="AW4" s="90"/>
      <c r="AX4" s="90"/>
      <c r="AY4" s="183"/>
      <c r="AZ4" s="183"/>
      <c r="BA4" s="43"/>
      <c r="BB4" s="43"/>
      <c r="BC4" s="43"/>
      <c r="BD4" s="90"/>
    </row>
    <row r="5" spans="1:56" ht="13.15" customHeight="1" thickBot="1" x14ac:dyDescent="0.25">
      <c r="A5" s="398" t="s">
        <v>2</v>
      </c>
      <c r="B5" s="398"/>
      <c r="C5" s="398"/>
      <c r="D5" s="173"/>
      <c r="E5" s="414" t="s">
        <v>389</v>
      </c>
      <c r="F5" s="412"/>
      <c r="G5" s="413"/>
      <c r="H5" s="406" t="s">
        <v>13</v>
      </c>
      <c r="I5" s="407"/>
      <c r="J5" s="408"/>
      <c r="K5" s="414" t="s">
        <v>392</v>
      </c>
      <c r="L5" s="412"/>
      <c r="M5" s="412"/>
      <c r="N5" s="412"/>
      <c r="AQ5" s="43"/>
      <c r="AR5" s="43"/>
      <c r="AS5" s="43"/>
      <c r="AT5" s="43"/>
      <c r="AU5" s="43"/>
      <c r="AV5" s="43"/>
      <c r="AW5" s="90"/>
      <c r="AX5" s="90"/>
      <c r="AY5" s="183"/>
      <c r="AZ5" s="183"/>
      <c r="BA5" s="43"/>
      <c r="BB5" s="43"/>
      <c r="BC5" s="43"/>
      <c r="BD5" s="90"/>
    </row>
    <row r="6" spans="1:56" ht="13.15" customHeight="1" x14ac:dyDescent="0.2">
      <c r="A6" s="398" t="s">
        <v>3</v>
      </c>
      <c r="B6" s="398"/>
      <c r="C6" s="398"/>
      <c r="D6" s="173"/>
      <c r="E6" s="411" t="s">
        <v>390</v>
      </c>
      <c r="F6" s="412"/>
      <c r="G6" s="413"/>
      <c r="H6" s="406" t="s">
        <v>14</v>
      </c>
      <c r="I6" s="407"/>
      <c r="J6" s="408"/>
      <c r="K6" s="414" t="s">
        <v>393</v>
      </c>
      <c r="L6" s="412"/>
      <c r="M6" s="412"/>
      <c r="N6" s="412"/>
      <c r="R6" s="243" t="s">
        <v>333</v>
      </c>
      <c r="S6" s="243"/>
      <c r="T6" s="243"/>
      <c r="U6" s="243"/>
      <c r="V6" s="243"/>
      <c r="AQ6" s="185"/>
      <c r="AR6" s="185"/>
      <c r="AS6" s="185"/>
      <c r="AT6" s="185"/>
      <c r="AU6" s="185"/>
      <c r="AV6" s="185"/>
      <c r="AW6" s="90"/>
      <c r="AX6" s="90"/>
      <c r="AY6" s="184"/>
      <c r="AZ6" s="44"/>
      <c r="BA6" s="185"/>
      <c r="BB6" s="185"/>
      <c r="BC6" s="185"/>
      <c r="BD6" s="90"/>
    </row>
    <row r="7" spans="1:56" ht="13.15" customHeight="1" thickBot="1" x14ac:dyDescent="0.25">
      <c r="A7" s="405"/>
      <c r="B7" s="405"/>
      <c r="C7" s="405"/>
      <c r="D7" s="174"/>
      <c r="E7" s="406"/>
      <c r="F7" s="407"/>
      <c r="G7" s="408"/>
      <c r="H7" s="406" t="s">
        <v>15</v>
      </c>
      <c r="I7" s="407"/>
      <c r="J7" s="408"/>
      <c r="K7" s="409">
        <v>2019</v>
      </c>
      <c r="L7" s="410"/>
      <c r="M7" s="410"/>
      <c r="N7" s="410"/>
      <c r="R7" s="244"/>
      <c r="S7" s="244"/>
      <c r="T7" s="244"/>
      <c r="U7" s="244"/>
      <c r="V7" s="244"/>
      <c r="AQ7" s="185"/>
      <c r="AR7" s="185"/>
      <c r="AS7" s="185"/>
      <c r="AT7" s="185"/>
      <c r="AU7" s="185"/>
      <c r="AV7" s="185"/>
      <c r="AW7" s="90"/>
      <c r="AX7" s="90"/>
      <c r="AY7" s="44"/>
      <c r="AZ7" s="44"/>
      <c r="BA7" s="185"/>
      <c r="BB7" s="185"/>
      <c r="BC7" s="185"/>
      <c r="BD7" s="90"/>
    </row>
    <row r="8" spans="1:56" ht="13.15" customHeight="1" x14ac:dyDescent="0.2">
      <c r="A8" s="401" t="s">
        <v>4</v>
      </c>
      <c r="B8" s="388"/>
      <c r="C8" s="388"/>
      <c r="D8" s="388"/>
      <c r="E8" s="388"/>
      <c r="F8" s="388"/>
      <c r="G8" s="402"/>
      <c r="H8" s="403" t="s">
        <v>16</v>
      </c>
      <c r="I8" s="402"/>
      <c r="J8" s="403" t="s">
        <v>18</v>
      </c>
      <c r="K8" s="388"/>
      <c r="L8" s="388"/>
      <c r="M8" s="388"/>
      <c r="N8" s="388"/>
      <c r="R8" s="245" t="s">
        <v>53</v>
      </c>
      <c r="S8" s="246"/>
      <c r="T8" s="249" t="s">
        <v>6</v>
      </c>
      <c r="U8" s="249"/>
      <c r="V8" s="250"/>
      <c r="AQ8" s="185"/>
      <c r="AR8" s="185"/>
      <c r="AS8" s="185"/>
      <c r="AT8" s="185"/>
      <c r="AU8" s="185"/>
      <c r="AV8" s="185"/>
      <c r="AW8" s="90"/>
      <c r="AX8" s="90"/>
      <c r="AY8" s="184"/>
      <c r="AZ8" s="44"/>
      <c r="BA8" s="185"/>
      <c r="BB8" s="185"/>
      <c r="BC8" s="185"/>
      <c r="BD8" s="90"/>
    </row>
    <row r="9" spans="1:56" ht="13.15" customHeight="1" x14ac:dyDescent="0.2">
      <c r="A9" s="381" t="s">
        <v>119</v>
      </c>
      <c r="B9" s="382"/>
      <c r="C9" s="382"/>
      <c r="D9" s="382"/>
      <c r="E9" s="382"/>
      <c r="F9" s="382"/>
      <c r="G9" s="283"/>
      <c r="H9" s="394" t="s">
        <v>184</v>
      </c>
      <c r="I9" s="395"/>
      <c r="J9" s="396" t="s">
        <v>183</v>
      </c>
      <c r="K9" s="397"/>
      <c r="L9" s="397"/>
      <c r="M9" s="397"/>
      <c r="N9" s="397"/>
      <c r="R9" s="247"/>
      <c r="S9" s="248"/>
      <c r="T9" s="186" t="s">
        <v>59</v>
      </c>
      <c r="U9" s="186" t="s">
        <v>60</v>
      </c>
      <c r="V9" s="187" t="s">
        <v>61</v>
      </c>
      <c r="AQ9" s="185"/>
      <c r="AR9" s="185"/>
      <c r="AS9" s="185"/>
      <c r="AT9" s="185"/>
      <c r="AU9" s="185"/>
      <c r="AV9" s="185"/>
      <c r="AW9" s="90"/>
      <c r="AX9" s="90"/>
      <c r="AY9" s="44"/>
      <c r="AZ9" s="44"/>
      <c r="BA9" s="185"/>
      <c r="BB9" s="185"/>
      <c r="BC9" s="185"/>
      <c r="BD9" s="90"/>
    </row>
    <row r="10" spans="1:56" ht="13.15" customHeight="1" thickBot="1" x14ac:dyDescent="0.25">
      <c r="A10" s="382" t="s">
        <v>5</v>
      </c>
      <c r="B10" s="382"/>
      <c r="C10" s="382"/>
      <c r="D10" s="382"/>
      <c r="E10" s="382"/>
      <c r="F10" s="382"/>
      <c r="G10" s="283"/>
      <c r="H10" s="390" t="s">
        <v>17</v>
      </c>
      <c r="I10" s="283"/>
      <c r="J10" s="399">
        <v>1</v>
      </c>
      <c r="K10" s="400"/>
      <c r="L10" s="400"/>
      <c r="M10" s="400"/>
      <c r="N10" s="400"/>
      <c r="R10" s="238">
        <v>9</v>
      </c>
      <c r="S10" s="239"/>
      <c r="T10" s="188">
        <v>1.03</v>
      </c>
      <c r="U10" s="188">
        <f>1.03+0.000138*(Segment_Divided_1!$J$11-400)</f>
        <v>1.1128</v>
      </c>
      <c r="V10" s="189">
        <v>1.25</v>
      </c>
      <c r="AQ10" s="90"/>
      <c r="AR10" s="90"/>
      <c r="AS10" s="90"/>
      <c r="AT10" s="90"/>
      <c r="AU10" s="90"/>
      <c r="AV10" s="90"/>
      <c r="AW10" s="90"/>
      <c r="AX10" s="90"/>
      <c r="AY10" s="184"/>
      <c r="AZ10" s="44"/>
      <c r="BA10" s="185"/>
      <c r="BB10" s="185"/>
      <c r="BC10" s="185"/>
      <c r="BD10" s="90"/>
    </row>
    <row r="11" spans="1:56" ht="13.15" customHeight="1" thickBot="1" x14ac:dyDescent="0.25">
      <c r="A11" s="382" t="s">
        <v>6</v>
      </c>
      <c r="B11" s="382"/>
      <c r="C11" s="382"/>
      <c r="D11" s="393"/>
      <c r="E11" s="175" t="s">
        <v>351</v>
      </c>
      <c r="F11" s="176">
        <v>89300</v>
      </c>
      <c r="G11" s="177" t="s">
        <v>352</v>
      </c>
      <c r="H11" s="390" t="s">
        <v>17</v>
      </c>
      <c r="I11" s="283"/>
      <c r="J11" s="391">
        <v>1000</v>
      </c>
      <c r="K11" s="392"/>
      <c r="L11" s="392"/>
      <c r="M11" s="392"/>
      <c r="N11" s="392"/>
      <c r="O11" s="178" t="str">
        <f>IF(J11&gt;F11,"AADT out of range","AADT OK")</f>
        <v>AADT OK</v>
      </c>
      <c r="R11" s="239">
        <v>9.5</v>
      </c>
      <c r="S11" s="252"/>
      <c r="T11" s="188">
        <f>+(T10+T12)/2</f>
        <v>1.02</v>
      </c>
      <c r="U11" s="188">
        <f>+(U10+U12)/2</f>
        <v>1.08765</v>
      </c>
      <c r="V11" s="189">
        <f>+(V10+V12)/2</f>
        <v>1.2</v>
      </c>
      <c r="AQ11" s="90"/>
      <c r="AR11" s="90"/>
      <c r="AS11" s="90"/>
      <c r="AT11" s="90"/>
      <c r="AU11" s="90"/>
      <c r="AV11" s="90"/>
      <c r="AW11" s="90"/>
      <c r="AX11" s="90"/>
      <c r="AY11" s="44"/>
      <c r="AZ11" s="44"/>
      <c r="BA11" s="185"/>
      <c r="BB11" s="185"/>
      <c r="BC11" s="185"/>
      <c r="BD11" s="90"/>
    </row>
    <row r="12" spans="1:56" ht="13.15" customHeight="1" x14ac:dyDescent="0.2">
      <c r="A12" s="382" t="s">
        <v>7</v>
      </c>
      <c r="B12" s="382"/>
      <c r="C12" s="382"/>
      <c r="D12" s="382"/>
      <c r="E12" s="382"/>
      <c r="F12" s="382"/>
      <c r="G12" s="283"/>
      <c r="H12" s="261">
        <v>12</v>
      </c>
      <c r="I12" s="283"/>
      <c r="J12" s="384">
        <v>12</v>
      </c>
      <c r="K12" s="385"/>
      <c r="L12" s="385"/>
      <c r="M12" s="385"/>
      <c r="N12" s="385"/>
      <c r="R12" s="238">
        <v>10</v>
      </c>
      <c r="S12" s="239"/>
      <c r="T12" s="188">
        <v>1.01</v>
      </c>
      <c r="U12" s="188">
        <f>1.01+0.0000875*(Segment_Divided_1!$J$11-400)</f>
        <v>1.0625</v>
      </c>
      <c r="V12" s="189">
        <v>1.1499999999999999</v>
      </c>
      <c r="AQ12" s="90"/>
      <c r="AR12" s="90"/>
      <c r="AS12" s="90"/>
      <c r="AT12" s="90"/>
      <c r="AU12" s="90"/>
      <c r="AV12" s="90"/>
      <c r="AW12" s="90"/>
      <c r="AX12" s="90"/>
      <c r="AY12" s="184"/>
      <c r="AZ12" s="44"/>
      <c r="BA12" s="185"/>
      <c r="BB12" s="185"/>
      <c r="BC12" s="185"/>
      <c r="BD12" s="90"/>
    </row>
    <row r="13" spans="1:56" ht="13.15" customHeight="1" x14ac:dyDescent="0.2">
      <c r="A13" s="381" t="s">
        <v>307</v>
      </c>
      <c r="B13" s="382"/>
      <c r="C13" s="382"/>
      <c r="D13" s="382"/>
      <c r="E13" s="382"/>
      <c r="F13" s="382"/>
      <c r="G13" s="283"/>
      <c r="H13" s="383">
        <v>8</v>
      </c>
      <c r="I13" s="283"/>
      <c r="J13" s="384">
        <v>8</v>
      </c>
      <c r="K13" s="385"/>
      <c r="L13" s="385"/>
      <c r="M13" s="385"/>
      <c r="N13" s="385"/>
      <c r="R13" s="255">
        <v>10.5</v>
      </c>
      <c r="S13" s="255"/>
      <c r="T13" s="188">
        <f>+(T12+T14)/2</f>
        <v>1.01</v>
      </c>
      <c r="U13" s="188">
        <f>+(U12+U14)/2</f>
        <v>1.04</v>
      </c>
      <c r="V13" s="189">
        <f>+(V12+V14)/2</f>
        <v>1.0899999999999999</v>
      </c>
      <c r="AQ13" s="90"/>
      <c r="AR13" s="90"/>
      <c r="AS13" s="90"/>
      <c r="AT13" s="90"/>
      <c r="AU13" s="90"/>
      <c r="AV13" s="90"/>
      <c r="AW13" s="90"/>
      <c r="AX13" s="90"/>
      <c r="AY13" s="97"/>
      <c r="AZ13" s="90"/>
      <c r="BA13" s="90"/>
      <c r="BB13" s="90"/>
      <c r="BC13" s="90"/>
      <c r="BD13" s="90"/>
    </row>
    <row r="14" spans="1:56" ht="13.15" customHeight="1" x14ac:dyDescent="0.2">
      <c r="A14" s="381" t="s">
        <v>117</v>
      </c>
      <c r="B14" s="382"/>
      <c r="C14" s="382"/>
      <c r="D14" s="382"/>
      <c r="E14" s="382"/>
      <c r="F14" s="382"/>
      <c r="G14" s="283"/>
      <c r="H14" s="386" t="s">
        <v>67</v>
      </c>
      <c r="I14" s="283"/>
      <c r="J14" s="384" t="s">
        <v>67</v>
      </c>
      <c r="K14" s="385"/>
      <c r="L14" s="385"/>
      <c r="M14" s="385"/>
      <c r="N14" s="385"/>
      <c r="R14" s="238">
        <v>11</v>
      </c>
      <c r="S14" s="239"/>
      <c r="T14" s="188">
        <v>1.01</v>
      </c>
      <c r="U14" s="188">
        <f>1.01+0.0000125*(Segment_Divided_1!$J$11-400)</f>
        <v>1.0175000000000001</v>
      </c>
      <c r="V14" s="189">
        <v>1.03</v>
      </c>
      <c r="AQ14" s="90"/>
      <c r="AR14" s="90"/>
      <c r="AS14" s="90"/>
      <c r="AT14" s="90"/>
      <c r="AU14" s="90"/>
      <c r="AV14" s="90"/>
      <c r="AW14" s="90"/>
      <c r="AX14" s="90"/>
      <c r="AY14" s="90"/>
      <c r="AZ14" s="90"/>
      <c r="BA14" s="90"/>
      <c r="BB14" s="90"/>
      <c r="BC14" s="90"/>
      <c r="BD14" s="90"/>
    </row>
    <row r="15" spans="1:56" ht="13.15" customHeight="1" x14ac:dyDescent="0.2">
      <c r="A15" s="381" t="s">
        <v>116</v>
      </c>
      <c r="B15" s="382"/>
      <c r="C15" s="382"/>
      <c r="D15" s="382"/>
      <c r="E15" s="382"/>
      <c r="F15" s="382"/>
      <c r="G15" s="283"/>
      <c r="H15" s="383">
        <v>30</v>
      </c>
      <c r="I15" s="283"/>
      <c r="J15" s="389">
        <v>30</v>
      </c>
      <c r="K15" s="385"/>
      <c r="L15" s="385"/>
      <c r="M15" s="385"/>
      <c r="N15" s="385"/>
      <c r="R15" s="251">
        <v>11.5</v>
      </c>
      <c r="S15" s="251"/>
      <c r="T15" s="188">
        <f>+(T14+T16)/2</f>
        <v>1.0049999999999999</v>
      </c>
      <c r="U15" s="188">
        <f>+(U14+U16)/2</f>
        <v>1.00875</v>
      </c>
      <c r="V15" s="189">
        <f>+(V14+V16)/2</f>
        <v>1.0150000000000001</v>
      </c>
      <c r="AQ15" s="90"/>
      <c r="AR15" s="90"/>
      <c r="AS15" s="90"/>
      <c r="AT15" s="90"/>
      <c r="AU15" s="90"/>
      <c r="AV15" s="90"/>
      <c r="AW15" s="90"/>
      <c r="AX15" s="90"/>
      <c r="AY15" s="90"/>
      <c r="AZ15" s="90"/>
      <c r="BA15" s="90"/>
      <c r="BB15" s="90"/>
      <c r="BC15" s="90"/>
      <c r="BD15" s="90"/>
    </row>
    <row r="16" spans="1:56" ht="13.15" customHeight="1" thickBot="1" x14ac:dyDescent="0.25">
      <c r="A16" s="381" t="s">
        <v>114</v>
      </c>
      <c r="B16" s="382"/>
      <c r="C16" s="382"/>
      <c r="D16" s="382"/>
      <c r="E16" s="382"/>
      <c r="F16" s="382"/>
      <c r="G16" s="283"/>
      <c r="H16" s="386" t="s">
        <v>115</v>
      </c>
      <c r="I16" s="283"/>
      <c r="J16" s="387" t="s">
        <v>207</v>
      </c>
      <c r="K16" s="388"/>
      <c r="L16" s="388"/>
      <c r="M16" s="388"/>
      <c r="N16" s="388"/>
      <c r="R16" s="253">
        <v>12</v>
      </c>
      <c r="S16" s="254"/>
      <c r="T16" s="190">
        <v>1</v>
      </c>
      <c r="U16" s="190">
        <v>1</v>
      </c>
      <c r="V16" s="191">
        <v>1</v>
      </c>
      <c r="AQ16" s="90"/>
      <c r="AR16" s="90"/>
      <c r="AS16" s="90"/>
      <c r="AT16" s="90"/>
      <c r="AU16" s="90"/>
      <c r="AV16" s="90"/>
      <c r="AW16" s="90"/>
    </row>
    <row r="17" spans="1:49" ht="13.15" customHeight="1" x14ac:dyDescent="0.2">
      <c r="A17" s="381" t="s">
        <v>113</v>
      </c>
      <c r="B17" s="382"/>
      <c r="C17" s="382"/>
      <c r="D17" s="382"/>
      <c r="E17" s="382"/>
      <c r="F17" s="382"/>
      <c r="G17" s="283"/>
      <c r="H17" s="383" t="s">
        <v>72</v>
      </c>
      <c r="I17" s="283"/>
      <c r="J17" s="384" t="s">
        <v>72</v>
      </c>
      <c r="K17" s="385"/>
      <c r="L17" s="385"/>
      <c r="M17" s="385"/>
      <c r="N17" s="385"/>
      <c r="R17" s="240" t="s">
        <v>295</v>
      </c>
      <c r="S17" s="241"/>
      <c r="T17" s="241"/>
      <c r="U17" s="241"/>
      <c r="V17" s="241"/>
      <c r="AQ17" s="90"/>
      <c r="AR17" s="90"/>
      <c r="AS17" s="90"/>
      <c r="AT17" s="90"/>
      <c r="AU17" s="90"/>
      <c r="AV17" s="90"/>
      <c r="AW17" s="90"/>
    </row>
    <row r="18" spans="1:49" ht="13.15" customHeight="1" x14ac:dyDescent="0.2">
      <c r="A18" s="382" t="s">
        <v>9</v>
      </c>
      <c r="B18" s="382"/>
      <c r="C18" s="382"/>
      <c r="D18" s="382"/>
      <c r="E18" s="382"/>
      <c r="F18" s="382"/>
      <c r="G18" s="283"/>
      <c r="H18" s="383" t="s">
        <v>72</v>
      </c>
      <c r="I18" s="283"/>
      <c r="J18" s="384" t="s">
        <v>72</v>
      </c>
      <c r="K18" s="385"/>
      <c r="L18" s="385"/>
      <c r="M18" s="385"/>
      <c r="N18" s="385"/>
      <c r="R18" s="242"/>
      <c r="S18" s="242"/>
      <c r="T18" s="242"/>
      <c r="U18" s="242"/>
      <c r="V18" s="242"/>
    </row>
    <row r="19" spans="1:49" ht="13.15" customHeight="1" thickBot="1" x14ac:dyDescent="0.25">
      <c r="A19" s="375" t="s">
        <v>10</v>
      </c>
      <c r="B19" s="375"/>
      <c r="C19" s="375"/>
      <c r="D19" s="375"/>
      <c r="E19" s="375"/>
      <c r="F19" s="375"/>
      <c r="G19" s="376"/>
      <c r="H19" s="377">
        <v>1</v>
      </c>
      <c r="I19" s="378"/>
      <c r="J19" s="379">
        <v>1</v>
      </c>
      <c r="K19" s="380"/>
      <c r="L19" s="380"/>
      <c r="M19" s="380"/>
      <c r="N19" s="380"/>
      <c r="R19" s="242"/>
      <c r="S19" s="242"/>
      <c r="T19" s="242"/>
      <c r="U19" s="242"/>
      <c r="V19" s="242"/>
    </row>
    <row r="20" spans="1:49" ht="13.15" customHeight="1" thickTop="1" x14ac:dyDescent="0.2">
      <c r="J20" s="179"/>
      <c r="K20" s="180"/>
      <c r="L20" s="180"/>
      <c r="M20" s="180"/>
      <c r="N20" s="180"/>
    </row>
    <row r="21" spans="1:49" ht="13.5" thickBot="1" x14ac:dyDescent="0.25">
      <c r="A21" s="90"/>
      <c r="B21" s="90"/>
      <c r="C21" s="90"/>
      <c r="D21" s="90"/>
      <c r="E21" s="90"/>
      <c r="F21" s="90"/>
      <c r="G21" s="90"/>
      <c r="H21" s="90"/>
      <c r="I21" s="90"/>
      <c r="J21" s="44"/>
      <c r="K21" s="90"/>
      <c r="L21" s="90"/>
      <c r="M21" s="90"/>
      <c r="N21" s="90"/>
    </row>
    <row r="22" spans="1:49" ht="14.25" thickTop="1" thickBot="1" x14ac:dyDescent="0.25">
      <c r="A22" s="372" t="s">
        <v>120</v>
      </c>
      <c r="B22" s="373"/>
      <c r="C22" s="373"/>
      <c r="D22" s="373"/>
      <c r="E22" s="373"/>
      <c r="F22" s="373"/>
      <c r="G22" s="373"/>
      <c r="H22" s="373"/>
      <c r="I22" s="373"/>
      <c r="J22" s="373"/>
      <c r="K22" s="373"/>
      <c r="L22" s="373"/>
      <c r="M22" s="373"/>
      <c r="N22" s="373"/>
    </row>
    <row r="23" spans="1:49" x14ac:dyDescent="0.2">
      <c r="A23" s="374" t="s">
        <v>19</v>
      </c>
      <c r="B23" s="350"/>
      <c r="C23" s="342" t="s">
        <v>20</v>
      </c>
      <c r="D23" s="342"/>
      <c r="E23" s="350"/>
      <c r="F23" s="342" t="s">
        <v>21</v>
      </c>
      <c r="G23" s="350"/>
      <c r="H23" s="342" t="s">
        <v>22</v>
      </c>
      <c r="I23" s="350"/>
      <c r="J23" s="342" t="s">
        <v>23</v>
      </c>
      <c r="K23" s="350"/>
      <c r="L23" s="350"/>
      <c r="M23" s="342" t="s">
        <v>24</v>
      </c>
      <c r="N23" s="343"/>
    </row>
    <row r="24" spans="1:49" x14ac:dyDescent="0.2">
      <c r="A24" s="364" t="s">
        <v>32</v>
      </c>
      <c r="B24" s="365"/>
      <c r="C24" s="368" t="s">
        <v>121</v>
      </c>
      <c r="D24" s="368"/>
      <c r="E24" s="365"/>
      <c r="F24" s="368" t="s">
        <v>122</v>
      </c>
      <c r="G24" s="365"/>
      <c r="H24" s="369" t="s">
        <v>33</v>
      </c>
      <c r="I24" s="365"/>
      <c r="J24" s="369" t="s">
        <v>34</v>
      </c>
      <c r="K24" s="365"/>
      <c r="L24" s="365"/>
      <c r="M24" s="368" t="s">
        <v>107</v>
      </c>
      <c r="N24" s="370"/>
    </row>
    <row r="25" spans="1:49" x14ac:dyDescent="0.2">
      <c r="A25" s="366"/>
      <c r="B25" s="367"/>
      <c r="C25" s="367"/>
      <c r="D25" s="367"/>
      <c r="E25" s="367"/>
      <c r="F25" s="367"/>
      <c r="G25" s="367"/>
      <c r="H25" s="367"/>
      <c r="I25" s="367"/>
      <c r="J25" s="367"/>
      <c r="K25" s="367"/>
      <c r="L25" s="367"/>
      <c r="M25" s="367"/>
      <c r="N25" s="371"/>
    </row>
    <row r="26" spans="1:49" x14ac:dyDescent="0.2">
      <c r="A26" s="363" t="s">
        <v>123</v>
      </c>
      <c r="B26" s="285"/>
      <c r="C26" s="360" t="s">
        <v>124</v>
      </c>
      <c r="D26" s="360"/>
      <c r="E26" s="285"/>
      <c r="F26" s="360" t="s">
        <v>125</v>
      </c>
      <c r="G26" s="285"/>
      <c r="H26" s="360" t="s">
        <v>126</v>
      </c>
      <c r="I26" s="285"/>
      <c r="J26" s="360" t="s">
        <v>127</v>
      </c>
      <c r="K26" s="285"/>
      <c r="L26" s="285"/>
      <c r="M26" s="360" t="s">
        <v>35</v>
      </c>
      <c r="N26" s="361"/>
    </row>
    <row r="27" spans="1:49" x14ac:dyDescent="0.2">
      <c r="A27" s="359" t="s">
        <v>128</v>
      </c>
      <c r="B27" s="291"/>
      <c r="C27" s="356" t="s">
        <v>336</v>
      </c>
      <c r="D27" s="356"/>
      <c r="E27" s="291"/>
      <c r="F27" s="356" t="s">
        <v>338</v>
      </c>
      <c r="G27" s="285"/>
      <c r="H27" s="356" t="s">
        <v>129</v>
      </c>
      <c r="I27" s="291"/>
      <c r="J27" s="356" t="s">
        <v>130</v>
      </c>
      <c r="K27" s="285"/>
      <c r="L27" s="285"/>
      <c r="M27" s="362" t="s">
        <v>131</v>
      </c>
      <c r="N27" s="361"/>
    </row>
    <row r="28" spans="1:49" ht="13.5" thickBot="1" x14ac:dyDescent="0.25">
      <c r="A28" s="340">
        <f>((IF($J$11&gt;2000,(VLOOKUP($J$12,Segment_Divided_1!$R$10:$V$16,5,FALSE)),IF($J$11&lt;400,(VLOOKUP($J$12,Segment_Divided_1!$R$10:$V$16,3,FALSE)),(VLOOKUP($J$12,Segment_Divided_1!$R$10:$V$16,4)))))-1)*(IF('Reference Tables (Segment)'!D24="No",'Reference Tables (Segment)'!E32,'Reference Tables (Segment)'!I32))+1</f>
        <v>1</v>
      </c>
      <c r="B28" s="357"/>
      <c r="C28" s="338">
        <f>IF(J14="Paved",VLOOKUP(J13,'Reference Tables (Segment)'!AC10:AG20,3,FALSE),1)</f>
        <v>1</v>
      </c>
      <c r="D28" s="358"/>
      <c r="E28" s="357"/>
      <c r="F28" s="338">
        <f>VLOOKUP(J15,'Reference Tables (Segment)'!AC29:AF38,3,FALSE)</f>
        <v>1</v>
      </c>
      <c r="G28" s="339"/>
      <c r="H28" s="338">
        <f>IF($J$17="Present",(1-(IF('Reference Tables (Segment)'!$D$53="No",((1-(0.72*'Reference Tables (Segment)'!$E$57)-(0.83*'Reference Tables (Segment)'!$F$57))*'Reference Tables (Segment)'!$G$57),((1-(0.72*'Reference Tables (Segment)'!$I$57)-(0.83*'Reference Tables (Segment)'!$J$57))*'Reference Tables (Segment)'!$K$57)))),1)</f>
        <v>1</v>
      </c>
      <c r="I28" s="339"/>
      <c r="J28" s="338">
        <f>IF($J$18="Present",0.94,1)</f>
        <v>1</v>
      </c>
      <c r="K28" s="340"/>
      <c r="L28" s="339"/>
      <c r="M28" s="338">
        <f>$A$28*$C$28*$F$28*$H$28*$J$28</f>
        <v>1</v>
      </c>
      <c r="N28" s="341"/>
    </row>
    <row r="31" spans="1:49" ht="13.5" thickBot="1" x14ac:dyDescent="0.25">
      <c r="O31" s="90"/>
    </row>
    <row r="32" spans="1:49" ht="14.25" thickTop="1" thickBot="1" x14ac:dyDescent="0.25">
      <c r="A32" s="271" t="s">
        <v>144</v>
      </c>
      <c r="B32" s="328"/>
      <c r="C32" s="328"/>
      <c r="D32" s="328"/>
      <c r="E32" s="328"/>
      <c r="F32" s="328"/>
      <c r="G32" s="328"/>
      <c r="H32" s="328"/>
      <c r="I32" s="328"/>
      <c r="J32" s="347"/>
      <c r="K32" s="347"/>
      <c r="L32" s="347"/>
      <c r="M32" s="347"/>
      <c r="N32" s="347"/>
      <c r="O32" s="90"/>
    </row>
    <row r="33" spans="1:42" x14ac:dyDescent="0.2">
      <c r="A33" s="332" t="s">
        <v>19</v>
      </c>
      <c r="B33" s="348"/>
      <c r="C33" s="349" t="s">
        <v>20</v>
      </c>
      <c r="D33" s="349"/>
      <c r="E33" s="348"/>
      <c r="F33" s="342" t="s">
        <v>21</v>
      </c>
      <c r="G33" s="350"/>
      <c r="H33" s="351" t="s">
        <v>22</v>
      </c>
      <c r="I33" s="348"/>
      <c r="J33" s="351" t="s">
        <v>23</v>
      </c>
      <c r="K33" s="348"/>
      <c r="L33" s="192" t="s">
        <v>24</v>
      </c>
      <c r="M33" s="342" t="s">
        <v>25</v>
      </c>
      <c r="N33" s="343"/>
      <c r="O33" s="90"/>
    </row>
    <row r="34" spans="1:42" x14ac:dyDescent="0.2">
      <c r="A34" s="304" t="s">
        <v>36</v>
      </c>
      <c r="B34" s="263"/>
      <c r="C34" s="344" t="s">
        <v>145</v>
      </c>
      <c r="D34" s="287"/>
      <c r="E34" s="287"/>
      <c r="F34" s="345" t="s">
        <v>293</v>
      </c>
      <c r="G34" s="291"/>
      <c r="H34" s="300" t="s">
        <v>37</v>
      </c>
      <c r="I34" s="321"/>
      <c r="J34" s="300" t="s">
        <v>38</v>
      </c>
      <c r="K34" s="346"/>
      <c r="L34" s="300" t="s">
        <v>10</v>
      </c>
      <c r="M34" s="345" t="s">
        <v>311</v>
      </c>
      <c r="N34" s="352"/>
      <c r="O34" s="90"/>
    </row>
    <row r="35" spans="1:42" x14ac:dyDescent="0.2">
      <c r="A35" s="283"/>
      <c r="B35" s="263"/>
      <c r="C35" s="354" t="s">
        <v>341</v>
      </c>
      <c r="D35" s="252"/>
      <c r="E35" s="252"/>
      <c r="F35" s="285"/>
      <c r="G35" s="285"/>
      <c r="H35" s="321"/>
      <c r="I35" s="321"/>
      <c r="J35" s="355" t="s">
        <v>151</v>
      </c>
      <c r="K35" s="346"/>
      <c r="L35" s="252"/>
      <c r="M35" s="353"/>
      <c r="N35" s="352"/>
      <c r="O35" s="90"/>
      <c r="P35" s="90"/>
      <c r="Q35" s="193"/>
      <c r="R35" s="90"/>
      <c r="S35" s="90"/>
      <c r="T35" s="44"/>
      <c r="U35" s="44"/>
      <c r="V35" s="184"/>
      <c r="W35" s="44"/>
      <c r="X35" s="194"/>
      <c r="Y35" s="194"/>
      <c r="Z35" s="206"/>
      <c r="AA35" s="194"/>
      <c r="AB35" s="90"/>
      <c r="AD35" s="90"/>
      <c r="AE35" s="90"/>
      <c r="AF35" s="90"/>
      <c r="AG35" s="90"/>
      <c r="AH35" s="90"/>
      <c r="AI35" s="90"/>
      <c r="AJ35" s="90"/>
      <c r="AK35" s="90"/>
      <c r="AL35" s="90"/>
      <c r="AM35" s="90"/>
      <c r="AN35" s="90"/>
      <c r="AO35" s="90"/>
      <c r="AP35" s="90"/>
    </row>
    <row r="36" spans="1:42" x14ac:dyDescent="0.2">
      <c r="A36" s="283"/>
      <c r="B36" s="263"/>
      <c r="C36" s="171" t="s">
        <v>146</v>
      </c>
      <c r="D36" s="171" t="s">
        <v>147</v>
      </c>
      <c r="E36" s="171" t="s">
        <v>148</v>
      </c>
      <c r="F36" s="356" t="s">
        <v>149</v>
      </c>
      <c r="G36" s="291"/>
      <c r="H36" s="354" t="s">
        <v>150</v>
      </c>
      <c r="I36" s="252"/>
      <c r="J36" s="346"/>
      <c r="K36" s="346"/>
      <c r="L36" s="252"/>
      <c r="M36" s="318" t="s">
        <v>152</v>
      </c>
      <c r="N36" s="319"/>
      <c r="O36" s="90"/>
      <c r="P36" s="90"/>
      <c r="Q36" s="193"/>
      <c r="R36" s="90"/>
      <c r="S36" s="90"/>
      <c r="T36" s="194"/>
      <c r="U36" s="194"/>
      <c r="V36" s="194"/>
      <c r="W36" s="194"/>
      <c r="X36" s="194"/>
      <c r="Y36" s="194"/>
      <c r="Z36" s="194"/>
      <c r="AA36" s="194"/>
      <c r="AB36" s="90"/>
      <c r="AD36" s="43"/>
      <c r="AE36" s="43"/>
      <c r="AF36" s="43"/>
      <c r="AG36" s="43"/>
      <c r="AH36" s="43"/>
      <c r="AI36" s="43"/>
      <c r="AJ36" s="43"/>
      <c r="AK36" s="43"/>
      <c r="AL36" s="43"/>
      <c r="AM36" s="43"/>
      <c r="AN36" s="43"/>
      <c r="AO36" s="43"/>
      <c r="AP36" s="43"/>
    </row>
    <row r="37" spans="1:42" x14ac:dyDescent="0.2">
      <c r="A37" s="283" t="s">
        <v>39</v>
      </c>
      <c r="B37" s="263"/>
      <c r="C37" s="195">
        <v>-9.0250000000000004</v>
      </c>
      <c r="D37" s="195">
        <v>1.0489999999999999</v>
      </c>
      <c r="E37" s="195">
        <v>1.5489999999999999</v>
      </c>
      <c r="F37" s="306">
        <f>EXP($C$37+$D$37*LN($J$11)+LN($J$10))</f>
        <v>0.16884659260808729</v>
      </c>
      <c r="G37" s="307"/>
      <c r="H37" s="264">
        <f>1/(EXP($E$37+LN($J$10)))</f>
        <v>0.21246032795994022</v>
      </c>
      <c r="I37" s="265"/>
      <c r="J37" s="308">
        <f>+$M$28</f>
        <v>1</v>
      </c>
      <c r="K37" s="301"/>
      <c r="L37" s="182">
        <f>+$J$19</f>
        <v>1</v>
      </c>
      <c r="M37" s="306">
        <f>+F37*J37*L37</f>
        <v>0.16884659260808729</v>
      </c>
      <c r="N37" s="309"/>
      <c r="O37" s="90"/>
      <c r="P37" s="90"/>
      <c r="Q37" s="90"/>
      <c r="R37" s="90"/>
      <c r="S37" s="90"/>
      <c r="T37" s="90"/>
      <c r="U37" s="90"/>
      <c r="V37" s="90"/>
      <c r="W37" s="90"/>
      <c r="X37" s="90"/>
      <c r="Y37" s="90"/>
      <c r="Z37" s="90"/>
      <c r="AA37" s="90"/>
      <c r="AB37" s="90"/>
      <c r="AD37" s="43"/>
      <c r="AE37" s="43"/>
      <c r="AF37" s="44"/>
      <c r="AG37" s="44"/>
      <c r="AH37" s="44"/>
      <c r="AI37" s="44"/>
      <c r="AJ37" s="44"/>
      <c r="AK37" s="43"/>
      <c r="AL37" s="44"/>
      <c r="AM37" s="44"/>
      <c r="AN37" s="44"/>
      <c r="AO37" s="44"/>
      <c r="AP37" s="44"/>
    </row>
    <row r="38" spans="1:42" x14ac:dyDescent="0.2">
      <c r="A38" s="283" t="s">
        <v>40</v>
      </c>
      <c r="B38" s="263"/>
      <c r="C38" s="195">
        <v>-8.8369999999999997</v>
      </c>
      <c r="D38" s="195">
        <v>0.95799999999999996</v>
      </c>
      <c r="E38" s="195">
        <v>1.6870000000000001</v>
      </c>
      <c r="F38" s="306">
        <f>EXP($C$38+$D$38*LN($J$11)+LN($J$10))</f>
        <v>0.10867750600616373</v>
      </c>
      <c r="G38" s="307"/>
      <c r="H38" s="264">
        <f>1/(EXP($E$38+LN($J$10)))</f>
        <v>0.18507391373378718</v>
      </c>
      <c r="I38" s="265"/>
      <c r="J38" s="308">
        <f>+$M$28</f>
        <v>1</v>
      </c>
      <c r="K38" s="301"/>
      <c r="L38" s="182">
        <f>+$J$19</f>
        <v>1</v>
      </c>
      <c r="M38" s="306">
        <f>+F38*J38*L38</f>
        <v>0.10867750600616373</v>
      </c>
      <c r="N38" s="309"/>
      <c r="O38" s="90"/>
      <c r="P38" s="90"/>
      <c r="Q38" s="90"/>
      <c r="R38" s="90"/>
      <c r="S38" s="90"/>
      <c r="T38" s="90"/>
      <c r="U38" s="90"/>
      <c r="V38" s="90"/>
      <c r="W38" s="90"/>
      <c r="X38" s="90"/>
      <c r="Y38" s="90"/>
      <c r="Z38" s="90"/>
      <c r="AA38" s="90"/>
      <c r="AB38" s="90"/>
      <c r="AD38" s="90"/>
      <c r="AE38" s="43"/>
      <c r="AF38" s="43"/>
      <c r="AG38" s="43"/>
      <c r="AH38" s="43"/>
      <c r="AI38" s="43"/>
      <c r="AJ38" s="90"/>
      <c r="AK38" s="43"/>
      <c r="AL38" s="43"/>
      <c r="AM38" s="43"/>
      <c r="AN38" s="43"/>
      <c r="AO38" s="43"/>
      <c r="AP38" s="90"/>
    </row>
    <row r="39" spans="1:42" ht="14.25" x14ac:dyDescent="0.2">
      <c r="A39" s="327" t="s">
        <v>153</v>
      </c>
      <c r="B39" s="263"/>
      <c r="C39" s="195">
        <v>-8.5050000000000008</v>
      </c>
      <c r="D39" s="195">
        <v>0.874</v>
      </c>
      <c r="E39" s="195">
        <v>1.74</v>
      </c>
      <c r="F39" s="306">
        <f>EXP($C$39+$D$39*LN($J$11)+LN($J$10))</f>
        <v>8.4786250795990434E-2</v>
      </c>
      <c r="G39" s="307"/>
      <c r="H39" s="264">
        <f>1/(EXP($E$39+LN($J$10)))</f>
        <v>0.17552040061699689</v>
      </c>
      <c r="I39" s="265"/>
      <c r="J39" s="308">
        <f>+$M$28</f>
        <v>1</v>
      </c>
      <c r="K39" s="301"/>
      <c r="L39" s="182">
        <f>+$J$19</f>
        <v>1</v>
      </c>
      <c r="M39" s="306">
        <f>+F39*J39*L39</f>
        <v>8.4786250795990434E-2</v>
      </c>
      <c r="N39" s="309"/>
      <c r="O39" s="90"/>
      <c r="AD39" s="90"/>
      <c r="AE39" s="43"/>
      <c r="AF39" s="43"/>
      <c r="AG39" s="43"/>
      <c r="AH39" s="43"/>
      <c r="AI39" s="43"/>
      <c r="AJ39" s="90"/>
      <c r="AK39" s="43"/>
      <c r="AL39" s="43"/>
      <c r="AM39" s="43"/>
      <c r="AN39" s="43"/>
      <c r="AO39" s="43"/>
      <c r="AP39" s="90"/>
    </row>
    <row r="40" spans="1:42" ht="15.75" x14ac:dyDescent="0.2">
      <c r="A40" s="320" t="s">
        <v>41</v>
      </c>
      <c r="B40" s="321"/>
      <c r="C40" s="316" t="s">
        <v>17</v>
      </c>
      <c r="D40" s="316" t="s">
        <v>17</v>
      </c>
      <c r="E40" s="316" t="s">
        <v>17</v>
      </c>
      <c r="F40" s="323" t="s">
        <v>17</v>
      </c>
      <c r="G40" s="324"/>
      <c r="H40" s="312" t="s">
        <v>17</v>
      </c>
      <c r="I40" s="313"/>
      <c r="J40" s="312" t="s">
        <v>17</v>
      </c>
      <c r="K40" s="313"/>
      <c r="L40" s="316" t="s">
        <v>17</v>
      </c>
      <c r="M40" s="318" t="s">
        <v>154</v>
      </c>
      <c r="N40" s="319"/>
      <c r="O40" s="90"/>
      <c r="AD40" s="90"/>
      <c r="AE40" s="43"/>
      <c r="AF40" s="43"/>
      <c r="AG40" s="43"/>
      <c r="AH40" s="43"/>
      <c r="AI40" s="183"/>
      <c r="AJ40" s="90"/>
      <c r="AK40" s="43"/>
      <c r="AL40" s="43"/>
      <c r="AM40" s="43"/>
      <c r="AN40" s="43"/>
      <c r="AO40" s="183"/>
      <c r="AP40" s="90"/>
    </row>
    <row r="41" spans="1:42" ht="13.5" thickBot="1" x14ac:dyDescent="0.25">
      <c r="A41" s="322"/>
      <c r="B41" s="268"/>
      <c r="C41" s="317"/>
      <c r="D41" s="317"/>
      <c r="E41" s="317"/>
      <c r="F41" s="325"/>
      <c r="G41" s="326"/>
      <c r="H41" s="314"/>
      <c r="I41" s="315"/>
      <c r="J41" s="314"/>
      <c r="K41" s="315"/>
      <c r="L41" s="317"/>
      <c r="M41" s="310">
        <f>+M37-M38</f>
        <v>6.0169086601923563E-2</v>
      </c>
      <c r="N41" s="311"/>
      <c r="O41" s="90"/>
      <c r="P41" s="185"/>
      <c r="AD41" s="184"/>
      <c r="AE41" s="44"/>
      <c r="AF41" s="44"/>
      <c r="AG41" s="44"/>
      <c r="AH41" s="184"/>
      <c r="AI41" s="196"/>
      <c r="AJ41" s="90"/>
      <c r="AK41" s="44"/>
      <c r="AL41" s="44"/>
      <c r="AM41" s="44"/>
      <c r="AN41" s="184"/>
      <c r="AO41" s="196"/>
      <c r="AP41" s="90"/>
    </row>
    <row r="42" spans="1:42" x14ac:dyDescent="0.2">
      <c r="A42" s="269" t="s">
        <v>155</v>
      </c>
      <c r="B42" s="270"/>
      <c r="C42" s="270"/>
      <c r="D42" s="270"/>
      <c r="E42" s="270"/>
      <c r="F42" s="270"/>
      <c r="G42" s="270"/>
      <c r="H42" s="270"/>
      <c r="I42" s="270"/>
      <c r="J42" s="270"/>
      <c r="K42" s="270"/>
      <c r="L42" s="270"/>
      <c r="M42" s="270"/>
      <c r="N42" s="270"/>
      <c r="O42" s="90"/>
      <c r="AD42" s="90"/>
      <c r="AE42" s="90"/>
      <c r="AF42" s="90"/>
      <c r="AG42" s="90"/>
      <c r="AH42" s="90"/>
      <c r="AI42" s="90"/>
      <c r="AJ42" s="90"/>
      <c r="AK42" s="90"/>
      <c r="AL42" s="90"/>
      <c r="AM42" s="90"/>
      <c r="AN42" s="90"/>
      <c r="AO42" s="90"/>
      <c r="AP42" s="90"/>
    </row>
    <row r="43" spans="1:42" x14ac:dyDescent="0.2">
      <c r="O43" s="90"/>
      <c r="AD43" s="90"/>
      <c r="AE43" s="90"/>
      <c r="AF43" s="90"/>
      <c r="AG43" s="90"/>
      <c r="AH43" s="90"/>
      <c r="AI43" s="90"/>
      <c r="AJ43" s="90"/>
      <c r="AK43" s="90"/>
      <c r="AL43" s="90"/>
      <c r="AM43" s="90"/>
      <c r="AN43" s="90"/>
      <c r="AO43" s="90"/>
      <c r="AP43" s="90"/>
    </row>
    <row r="44" spans="1:42" x14ac:dyDescent="0.2">
      <c r="O44" s="90"/>
    </row>
    <row r="45" spans="1:42" ht="13.5" thickBot="1" x14ac:dyDescent="0.25">
      <c r="A45" s="185"/>
      <c r="B45" s="185"/>
      <c r="C45" s="185"/>
      <c r="D45" s="185"/>
      <c r="E45" s="185"/>
      <c r="F45" s="185"/>
      <c r="G45" s="185"/>
      <c r="H45" s="185"/>
      <c r="I45" s="185"/>
      <c r="J45" s="185"/>
      <c r="K45" s="185"/>
      <c r="L45" s="185"/>
      <c r="M45" s="185"/>
      <c r="N45" s="198"/>
      <c r="O45" s="90"/>
    </row>
    <row r="46" spans="1:42" ht="14.25" thickTop="1" thickBot="1" x14ac:dyDescent="0.25">
      <c r="A46" s="271" t="s">
        <v>160</v>
      </c>
      <c r="B46" s="328"/>
      <c r="C46" s="328"/>
      <c r="D46" s="328"/>
      <c r="E46" s="328"/>
      <c r="F46" s="328"/>
      <c r="G46" s="328"/>
      <c r="H46" s="328"/>
      <c r="I46" s="328"/>
      <c r="J46" s="328"/>
      <c r="K46" s="328"/>
      <c r="L46" s="328"/>
      <c r="M46" s="328"/>
      <c r="N46" s="328"/>
      <c r="O46" s="90"/>
    </row>
    <row r="47" spans="1:42" x14ac:dyDescent="0.2">
      <c r="A47" s="329" t="s">
        <v>19</v>
      </c>
      <c r="B47" s="330"/>
      <c r="C47" s="199" t="s">
        <v>20</v>
      </c>
      <c r="D47" s="331" t="s">
        <v>21</v>
      </c>
      <c r="E47" s="332"/>
      <c r="F47" s="200" t="s">
        <v>22</v>
      </c>
      <c r="G47" s="333" t="s">
        <v>23</v>
      </c>
      <c r="H47" s="334"/>
      <c r="I47" s="200" t="s">
        <v>24</v>
      </c>
      <c r="J47" s="333" t="s">
        <v>25</v>
      </c>
      <c r="K47" s="335"/>
      <c r="L47" s="200" t="s">
        <v>26</v>
      </c>
      <c r="M47" s="336" t="s">
        <v>27</v>
      </c>
      <c r="N47" s="337"/>
      <c r="O47" s="90"/>
    </row>
    <row r="48" spans="1:42" ht="13.15" customHeight="1" x14ac:dyDescent="0.2">
      <c r="A48" s="304" t="s">
        <v>42</v>
      </c>
      <c r="B48" s="300"/>
      <c r="C48" s="300" t="s">
        <v>44</v>
      </c>
      <c r="D48" s="300" t="s">
        <v>312</v>
      </c>
      <c r="E48" s="263"/>
      <c r="F48" s="300" t="s">
        <v>294</v>
      </c>
      <c r="G48" s="300" t="s">
        <v>313</v>
      </c>
      <c r="H48" s="300"/>
      <c r="I48" s="300" t="s">
        <v>161</v>
      </c>
      <c r="J48" s="300" t="s">
        <v>163</v>
      </c>
      <c r="K48" s="300"/>
      <c r="L48" s="300" t="s">
        <v>162</v>
      </c>
      <c r="M48" s="300" t="s">
        <v>314</v>
      </c>
      <c r="N48" s="305"/>
      <c r="O48" s="90"/>
    </row>
    <row r="49" spans="1:15" ht="13.15" customHeight="1" x14ac:dyDescent="0.2">
      <c r="A49" s="304"/>
      <c r="B49" s="300"/>
      <c r="C49" s="252"/>
      <c r="D49" s="263"/>
      <c r="E49" s="263"/>
      <c r="F49" s="252"/>
      <c r="G49" s="252"/>
      <c r="H49" s="252"/>
      <c r="I49" s="252"/>
      <c r="J49" s="252"/>
      <c r="K49" s="252"/>
      <c r="L49" s="252"/>
      <c r="M49" s="252"/>
      <c r="N49" s="261"/>
      <c r="O49" s="90"/>
    </row>
    <row r="50" spans="1:15" ht="13.15" customHeight="1" x14ac:dyDescent="0.2">
      <c r="A50" s="239"/>
      <c r="B50" s="252"/>
      <c r="C50" s="252"/>
      <c r="D50" s="263"/>
      <c r="E50" s="263"/>
      <c r="F50" s="252"/>
      <c r="G50" s="252"/>
      <c r="H50" s="252"/>
      <c r="I50" s="252"/>
      <c r="J50" s="252"/>
      <c r="K50" s="252"/>
      <c r="L50" s="252"/>
      <c r="M50" s="252"/>
      <c r="N50" s="261"/>
      <c r="O50" s="90"/>
    </row>
    <row r="51" spans="1:15" ht="13.15" customHeight="1" x14ac:dyDescent="0.2">
      <c r="A51" s="239"/>
      <c r="B51" s="252"/>
      <c r="C51" s="296" t="s">
        <v>342</v>
      </c>
      <c r="D51" s="297" t="s">
        <v>164</v>
      </c>
      <c r="E51" s="298"/>
      <c r="F51" s="296" t="s">
        <v>342</v>
      </c>
      <c r="G51" s="297" t="s">
        <v>165</v>
      </c>
      <c r="H51" s="298"/>
      <c r="I51" s="296" t="s">
        <v>342</v>
      </c>
      <c r="J51" s="297" t="s">
        <v>166</v>
      </c>
      <c r="K51" s="298"/>
      <c r="L51" s="296" t="s">
        <v>342</v>
      </c>
      <c r="M51" s="297" t="s">
        <v>167</v>
      </c>
      <c r="N51" s="299"/>
      <c r="O51" s="90"/>
    </row>
    <row r="52" spans="1:15" ht="13.15" customHeight="1" x14ac:dyDescent="0.2">
      <c r="A52" s="239"/>
      <c r="B52" s="252"/>
      <c r="C52" s="252"/>
      <c r="D52" s="252"/>
      <c r="E52" s="252"/>
      <c r="F52" s="252"/>
      <c r="G52" s="252"/>
      <c r="H52" s="252"/>
      <c r="I52" s="252"/>
      <c r="J52" s="252"/>
      <c r="K52" s="252"/>
      <c r="L52" s="252"/>
      <c r="M52" s="252"/>
      <c r="N52" s="261"/>
      <c r="O52" s="90"/>
    </row>
    <row r="53" spans="1:15" x14ac:dyDescent="0.2">
      <c r="A53" s="283" t="s">
        <v>39</v>
      </c>
      <c r="B53" s="263"/>
      <c r="C53" s="195">
        <f>IF('Reference Tables (Segment)'!$D$24="No",SUM('Reference Tables (Segment)'!$E$26:$E$31),SUM('Reference Tables (Segment)'!$I$26:$I$31))</f>
        <v>1</v>
      </c>
      <c r="D53" s="264">
        <f>+M37</f>
        <v>0.16884659260808729</v>
      </c>
      <c r="E53" s="265"/>
      <c r="F53" s="195">
        <f>IF('Reference Tables (Segment)'!$D$24="No",SUM('Reference Tables (Segment)'!$F$26:$F$31),SUM('Reference Tables (Segment)'!$J$26:$J$31))</f>
        <v>1</v>
      </c>
      <c r="G53" s="264">
        <f>+M38</f>
        <v>0.10867750600616373</v>
      </c>
      <c r="H53" s="265"/>
      <c r="I53" s="195">
        <f>IF('Reference Tables (Segment)'!$D$24="No",SUM('Reference Tables (Segment)'!$G$26:$G$31),SUM('Reference Tables (Segment)'!$K$26:$K$31))</f>
        <v>1</v>
      </c>
      <c r="J53" s="264">
        <f>+M39</f>
        <v>8.4786250795990434E-2</v>
      </c>
      <c r="K53" s="265"/>
      <c r="L53" s="195">
        <f>IF('Reference Tables (Segment)'!D$24="No",SUM('Reference Tables (Segment)'!$H$26:$H$31),SUM('Reference Tables (Segment)'!$L$26:$L$31))</f>
        <v>1</v>
      </c>
      <c r="M53" s="264">
        <f>+M41</f>
        <v>6.0169086601923563E-2</v>
      </c>
      <c r="N53" s="266"/>
      <c r="O53" s="90"/>
    </row>
    <row r="54" spans="1:15" ht="15.75" x14ac:dyDescent="0.2">
      <c r="A54" s="301"/>
      <c r="B54" s="302"/>
      <c r="C54" s="182"/>
      <c r="D54" s="260" t="s">
        <v>168</v>
      </c>
      <c r="E54" s="302"/>
      <c r="F54" s="182"/>
      <c r="G54" s="303" t="s">
        <v>169</v>
      </c>
      <c r="H54" s="263"/>
      <c r="I54" s="182"/>
      <c r="J54" s="260" t="s">
        <v>170</v>
      </c>
      <c r="K54" s="252"/>
      <c r="L54" s="182"/>
      <c r="M54" s="260" t="s">
        <v>171</v>
      </c>
      <c r="N54" s="261"/>
      <c r="O54" s="90"/>
    </row>
    <row r="55" spans="1:15" x14ac:dyDescent="0.2">
      <c r="A55" s="262" t="s">
        <v>46</v>
      </c>
      <c r="B55" s="263"/>
      <c r="C55" s="195">
        <f>IF('Reference Tables (Segment)'!$D$24="No",'Reference Tables (Segment)'!E26,'Reference Tables (Segment)'!I26)</f>
        <v>6.0000000000000001E-3</v>
      </c>
      <c r="D55" s="264">
        <f t="shared" ref="D55:D60" si="0">+C55*$D$53</f>
        <v>1.0130795556485238E-3</v>
      </c>
      <c r="E55" s="265"/>
      <c r="F55" s="195">
        <f>IF('Reference Tables (Segment)'!$D$24="No",'Reference Tables (Segment)'!F26,'Reference Tables (Segment)'!J26)</f>
        <v>1.2999999999999999E-2</v>
      </c>
      <c r="G55" s="264">
        <f t="shared" ref="G55:G60" si="1">+F55*$G$53</f>
        <v>1.4128075780801283E-3</v>
      </c>
      <c r="H55" s="265"/>
      <c r="I55" s="195">
        <f>IF('Reference Tables (Segment)'!$D$24="No",'Reference Tables (Segment)'!G26,'Reference Tables (Segment)'!K26)</f>
        <v>1.7999999999999999E-2</v>
      </c>
      <c r="J55" s="264">
        <f t="shared" ref="J55:J60" si="2">+$J$53*I55</f>
        <v>1.5261525143278277E-3</v>
      </c>
      <c r="K55" s="265"/>
      <c r="L55" s="195">
        <f>IF('Reference Tables (Segment)'!$D$24="No",'Reference Tables (Segment)'!H26,'Reference Tables (Segment)'!L26)</f>
        <v>2E-3</v>
      </c>
      <c r="M55" s="264">
        <f t="shared" ref="M55:M60" si="3">+$M$53*L55</f>
        <v>1.2033817320384712E-4</v>
      </c>
      <c r="N55" s="266"/>
      <c r="O55" s="90"/>
    </row>
    <row r="56" spans="1:15" x14ac:dyDescent="0.2">
      <c r="A56" s="262" t="s">
        <v>48</v>
      </c>
      <c r="B56" s="263"/>
      <c r="C56" s="195">
        <f>IF('Reference Tables (Segment)'!$D$24="No",'Reference Tables (Segment)'!E27,'Reference Tables (Segment)'!I27)</f>
        <v>4.2999999999999997E-2</v>
      </c>
      <c r="D56" s="264">
        <f t="shared" si="0"/>
        <v>7.2604034821477526E-3</v>
      </c>
      <c r="E56" s="265"/>
      <c r="F56" s="195">
        <f>IF('Reference Tables (Segment)'!$D$24="No",'Reference Tables (Segment)'!F27,'Reference Tables (Segment)'!J27)</f>
        <v>2.7E-2</v>
      </c>
      <c r="G56" s="264">
        <f t="shared" si="1"/>
        <v>2.9342926621664205E-3</v>
      </c>
      <c r="H56" s="265"/>
      <c r="I56" s="195">
        <f>IF('Reference Tables (Segment)'!$D$24="No",'Reference Tables (Segment)'!G27,'Reference Tables (Segment)'!K27)</f>
        <v>2.1999999999999999E-2</v>
      </c>
      <c r="J56" s="264">
        <f t="shared" si="2"/>
        <v>1.8652975175117894E-3</v>
      </c>
      <c r="K56" s="265"/>
      <c r="L56" s="195">
        <f>IF('Reference Tables (Segment)'!$D$24="No",'Reference Tables (Segment)'!H27,'Reference Tables (Segment)'!L27)</f>
        <v>5.2999999999999999E-2</v>
      </c>
      <c r="M56" s="264">
        <f t="shared" si="3"/>
        <v>3.1889615899019486E-3</v>
      </c>
      <c r="N56" s="266"/>
      <c r="O56" s="201"/>
    </row>
    <row r="57" spans="1:15" x14ac:dyDescent="0.2">
      <c r="A57" s="259" t="s">
        <v>47</v>
      </c>
      <c r="B57" s="263"/>
      <c r="C57" s="195">
        <f>IF('Reference Tables (Segment)'!$D$24="No",'Reference Tables (Segment)'!E28,'Reference Tables (Segment)'!I28)</f>
        <v>0.11600000000000001</v>
      </c>
      <c r="D57" s="264">
        <f t="shared" si="0"/>
        <v>1.9586204742538128E-2</v>
      </c>
      <c r="E57" s="265"/>
      <c r="F57" s="195">
        <f>IF('Reference Tables (Segment)'!$D$24="No",'Reference Tables (Segment)'!F28,'Reference Tables (Segment)'!J28)</f>
        <v>0.16300000000000001</v>
      </c>
      <c r="G57" s="264">
        <f t="shared" si="1"/>
        <v>1.7714433479004688E-2</v>
      </c>
      <c r="H57" s="265"/>
      <c r="I57" s="195">
        <f>IF('Reference Tables (Segment)'!$D$24="No",'Reference Tables (Segment)'!G28,'Reference Tables (Segment)'!K28)</f>
        <v>0.114</v>
      </c>
      <c r="J57" s="264">
        <f t="shared" si="2"/>
        <v>9.6656325907429098E-3</v>
      </c>
      <c r="K57" s="265"/>
      <c r="L57" s="195">
        <f>IF('Reference Tables (Segment)'!$D$24="No",'Reference Tables (Segment)'!H28,'Reference Tables (Segment)'!L28)</f>
        <v>8.7999999999999995E-2</v>
      </c>
      <c r="M57" s="264">
        <f t="shared" si="3"/>
        <v>5.2948796209692731E-3</v>
      </c>
      <c r="N57" s="266"/>
      <c r="O57" s="201"/>
    </row>
    <row r="58" spans="1:15" x14ac:dyDescent="0.2">
      <c r="A58" s="262" t="s">
        <v>45</v>
      </c>
      <c r="B58" s="263"/>
      <c r="C58" s="195">
        <f>IF('Reference Tables (Segment)'!$D$24="No",'Reference Tables (Segment)'!E29,'Reference Tables (Segment)'!I29)</f>
        <v>4.2999999999999997E-2</v>
      </c>
      <c r="D58" s="264">
        <f t="shared" si="0"/>
        <v>7.2604034821477526E-3</v>
      </c>
      <c r="E58" s="265"/>
      <c r="F58" s="195">
        <f>IF('Reference Tables (Segment)'!$D$24="No",'Reference Tables (Segment)'!F29,'Reference Tables (Segment)'!J29)</f>
        <v>4.8000000000000001E-2</v>
      </c>
      <c r="G58" s="264">
        <f t="shared" si="1"/>
        <v>5.2165202882958591E-3</v>
      </c>
      <c r="H58" s="265"/>
      <c r="I58" s="195">
        <f>IF('Reference Tables (Segment)'!$D$24="No",'Reference Tables (Segment)'!G29,'Reference Tables (Segment)'!K29)</f>
        <v>4.4999999999999998E-2</v>
      </c>
      <c r="J58" s="264">
        <f t="shared" si="2"/>
        <v>3.8153812858195695E-3</v>
      </c>
      <c r="K58" s="265"/>
      <c r="L58" s="195">
        <f>IF('Reference Tables (Segment)'!$D$24="No",'Reference Tables (Segment)'!H29,'Reference Tables (Segment)'!L29)</f>
        <v>4.1000000000000002E-2</v>
      </c>
      <c r="M58" s="264">
        <f t="shared" si="3"/>
        <v>2.466932550678866E-3</v>
      </c>
      <c r="N58" s="266"/>
      <c r="O58" s="201"/>
    </row>
    <row r="59" spans="1:15" x14ac:dyDescent="0.2">
      <c r="A59" s="262" t="s">
        <v>172</v>
      </c>
      <c r="B59" s="263"/>
      <c r="C59" s="195">
        <f>IF('Reference Tables (Segment)'!$D$24="No",'Reference Tables (Segment)'!E30,'Reference Tables (Segment)'!I30)</f>
        <v>0.76800000000000002</v>
      </c>
      <c r="D59" s="264">
        <f t="shared" si="0"/>
        <v>0.12967418312301104</v>
      </c>
      <c r="E59" s="265"/>
      <c r="F59" s="195">
        <f>IF('Reference Tables (Segment)'!$D$24="No",'Reference Tables (Segment)'!F30,'Reference Tables (Segment)'!J30)</f>
        <v>0.72699999999999998</v>
      </c>
      <c r="G59" s="264">
        <f t="shared" si="1"/>
        <v>7.9008546866481025E-2</v>
      </c>
      <c r="H59" s="265"/>
      <c r="I59" s="195">
        <f>IF('Reference Tables (Segment)'!$D$24="No",'Reference Tables (Segment)'!G30,'Reference Tables (Segment)'!K30)</f>
        <v>0.77800000000000002</v>
      </c>
      <c r="J59" s="264">
        <f t="shared" si="2"/>
        <v>6.5963703119280556E-2</v>
      </c>
      <c r="K59" s="265"/>
      <c r="L59" s="195">
        <f>IF('Reference Tables (Segment)'!$D$24="No",'Reference Tables (Segment)'!H30,'Reference Tables (Segment)'!L30)</f>
        <v>0.79200000000000004</v>
      </c>
      <c r="M59" s="264">
        <f t="shared" si="3"/>
        <v>4.7653916588723463E-2</v>
      </c>
      <c r="N59" s="266"/>
      <c r="O59" s="90"/>
    </row>
    <row r="60" spans="1:15" ht="13.5" thickBot="1" x14ac:dyDescent="0.25">
      <c r="A60" s="267" t="s">
        <v>173</v>
      </c>
      <c r="B60" s="268"/>
      <c r="C60" s="195">
        <f>IF('Reference Tables (Segment)'!$D$24="No",'Reference Tables (Segment)'!E31,'Reference Tables (Segment)'!I31)</f>
        <v>2.4E-2</v>
      </c>
      <c r="D60" s="264">
        <f t="shared" si="0"/>
        <v>4.0523182225940951E-3</v>
      </c>
      <c r="E60" s="265"/>
      <c r="F60" s="195">
        <f>IF('Reference Tables (Segment)'!$D$24="No",'Reference Tables (Segment)'!F31,'Reference Tables (Segment)'!J31)</f>
        <v>2.1999999999999999E-2</v>
      </c>
      <c r="G60" s="264">
        <f t="shared" si="1"/>
        <v>2.390905132135602E-3</v>
      </c>
      <c r="H60" s="265"/>
      <c r="I60" s="195">
        <f>IF('Reference Tables (Segment)'!$D$24="No",'Reference Tables (Segment)'!G31,'Reference Tables (Segment)'!K31)</f>
        <v>2.3E-2</v>
      </c>
      <c r="J60" s="264">
        <f t="shared" si="2"/>
        <v>1.9500837683077801E-3</v>
      </c>
      <c r="K60" s="265"/>
      <c r="L60" s="195">
        <f>IF('Reference Tables (Segment)'!$D$24="No",'Reference Tables (Segment)'!H31,'Reference Tables (Segment)'!L31)</f>
        <v>2.4E-2</v>
      </c>
      <c r="M60" s="264">
        <f t="shared" si="3"/>
        <v>1.4440580784461656E-3</v>
      </c>
      <c r="N60" s="266"/>
      <c r="O60" s="90"/>
    </row>
    <row r="61" spans="1:15" x14ac:dyDescent="0.2">
      <c r="A61" s="269" t="s">
        <v>155</v>
      </c>
      <c r="B61" s="270"/>
      <c r="C61" s="270"/>
      <c r="D61" s="270"/>
      <c r="E61" s="270"/>
      <c r="F61" s="270"/>
      <c r="G61" s="270"/>
      <c r="H61" s="270"/>
      <c r="I61" s="270"/>
      <c r="J61" s="270"/>
      <c r="K61" s="270"/>
      <c r="L61" s="270"/>
      <c r="M61" s="270"/>
      <c r="N61" s="270"/>
      <c r="O61" s="90"/>
    </row>
    <row r="62" spans="1:15" x14ac:dyDescent="0.2">
      <c r="B62" s="90"/>
      <c r="C62" s="90"/>
      <c r="D62" s="90"/>
      <c r="E62" s="90"/>
      <c r="F62" s="90"/>
      <c r="G62" s="90"/>
      <c r="H62" s="90"/>
      <c r="I62" s="90"/>
      <c r="J62" s="90"/>
      <c r="K62" s="90"/>
      <c r="L62" s="90"/>
      <c r="M62" s="90"/>
      <c r="N62" s="90"/>
      <c r="O62" s="90"/>
    </row>
    <row r="63" spans="1:15" ht="13.5" thickBot="1" x14ac:dyDescent="0.25">
      <c r="A63" s="43"/>
      <c r="B63" s="44"/>
      <c r="C63" s="44"/>
      <c r="D63" s="44"/>
      <c r="E63" s="44"/>
      <c r="F63" s="44"/>
      <c r="G63" s="44"/>
      <c r="H63" s="44"/>
      <c r="I63" s="90"/>
      <c r="J63" s="90"/>
      <c r="K63" s="90"/>
      <c r="L63" s="90"/>
      <c r="M63" s="90"/>
      <c r="N63" s="90"/>
      <c r="O63" s="90"/>
    </row>
    <row r="64" spans="1:15" ht="14.25" thickTop="1" thickBot="1" x14ac:dyDescent="0.25">
      <c r="A64" s="271" t="s">
        <v>179</v>
      </c>
      <c r="B64" s="271"/>
      <c r="C64" s="271"/>
      <c r="D64" s="271"/>
      <c r="E64" s="271"/>
      <c r="F64" s="271"/>
      <c r="G64" s="271"/>
      <c r="H64" s="271"/>
      <c r="I64" s="271"/>
      <c r="J64" s="271"/>
      <c r="K64" s="271"/>
      <c r="L64" s="271"/>
      <c r="M64" s="271"/>
      <c r="N64" s="271"/>
      <c r="O64" s="90"/>
    </row>
    <row r="65" spans="1:15" x14ac:dyDescent="0.2">
      <c r="A65" s="272" t="s">
        <v>19</v>
      </c>
      <c r="B65" s="273"/>
      <c r="C65" s="273"/>
      <c r="D65" s="274" t="s">
        <v>20</v>
      </c>
      <c r="E65" s="275"/>
      <c r="F65" s="275"/>
      <c r="G65" s="275"/>
      <c r="H65" s="275"/>
      <c r="I65" s="279" t="s">
        <v>21</v>
      </c>
      <c r="J65" s="273"/>
      <c r="K65" s="273"/>
      <c r="L65" s="280" t="s">
        <v>22</v>
      </c>
      <c r="M65" s="273"/>
      <c r="N65" s="281"/>
      <c r="O65" s="90"/>
    </row>
    <row r="66" spans="1:15" x14ac:dyDescent="0.2">
      <c r="A66" s="282" t="s">
        <v>49</v>
      </c>
      <c r="B66" s="263"/>
      <c r="C66" s="263"/>
      <c r="D66" s="284" t="s">
        <v>50</v>
      </c>
      <c r="E66" s="285"/>
      <c r="F66" s="285"/>
      <c r="G66" s="285"/>
      <c r="H66" s="285"/>
      <c r="I66" s="286" t="s">
        <v>51</v>
      </c>
      <c r="J66" s="287"/>
      <c r="K66" s="287"/>
      <c r="L66" s="288" t="s">
        <v>52</v>
      </c>
      <c r="M66" s="287"/>
      <c r="N66" s="289"/>
      <c r="O66" s="90"/>
    </row>
    <row r="67" spans="1:15" x14ac:dyDescent="0.2">
      <c r="A67" s="283"/>
      <c r="B67" s="263"/>
      <c r="C67" s="263"/>
      <c r="D67" s="290" t="s">
        <v>180</v>
      </c>
      <c r="E67" s="291"/>
      <c r="F67" s="291"/>
      <c r="G67" s="291"/>
      <c r="H67" s="291"/>
      <c r="I67" s="252"/>
      <c r="J67" s="252"/>
      <c r="K67" s="252"/>
      <c r="L67" s="295" t="s">
        <v>181</v>
      </c>
      <c r="M67" s="252"/>
      <c r="N67" s="261"/>
      <c r="O67" s="90"/>
    </row>
    <row r="68" spans="1:15" x14ac:dyDescent="0.2">
      <c r="A68" s="256" t="s">
        <v>39</v>
      </c>
      <c r="B68" s="257"/>
      <c r="C68" s="257"/>
      <c r="D68" s="258">
        <f>+M37</f>
        <v>0.16884659260808729</v>
      </c>
      <c r="E68" s="258"/>
      <c r="F68" s="258"/>
      <c r="G68" s="258"/>
      <c r="H68" s="258"/>
      <c r="I68" s="276">
        <f>+$J$10</f>
        <v>1</v>
      </c>
      <c r="J68" s="277"/>
      <c r="K68" s="277"/>
      <c r="L68" s="276">
        <f>+D68/I68</f>
        <v>0.16884659260808729</v>
      </c>
      <c r="M68" s="277"/>
      <c r="N68" s="278"/>
      <c r="O68" s="90"/>
    </row>
    <row r="69" spans="1:15" x14ac:dyDescent="0.2">
      <c r="A69" s="256" t="s">
        <v>40</v>
      </c>
      <c r="B69" s="257"/>
      <c r="C69" s="257"/>
      <c r="D69" s="258">
        <f>+M38</f>
        <v>0.10867750600616373</v>
      </c>
      <c r="E69" s="258"/>
      <c r="F69" s="258"/>
      <c r="G69" s="258"/>
      <c r="H69" s="258"/>
      <c r="I69" s="276">
        <f>+$J$10</f>
        <v>1</v>
      </c>
      <c r="J69" s="277"/>
      <c r="K69" s="277"/>
      <c r="L69" s="276">
        <f>+D69/I69</f>
        <v>0.10867750600616373</v>
      </c>
      <c r="M69" s="277"/>
      <c r="N69" s="278"/>
      <c r="O69" s="90"/>
    </row>
    <row r="70" spans="1:15" ht="14.25" x14ac:dyDescent="0.2">
      <c r="A70" s="259" t="s">
        <v>153</v>
      </c>
      <c r="B70" s="257"/>
      <c r="C70" s="257"/>
      <c r="D70" s="258">
        <f>+M39</f>
        <v>8.4786250795990434E-2</v>
      </c>
      <c r="E70" s="258"/>
      <c r="F70" s="258"/>
      <c r="G70" s="258"/>
      <c r="H70" s="258"/>
      <c r="I70" s="276">
        <f>+$J$10</f>
        <v>1</v>
      </c>
      <c r="J70" s="277"/>
      <c r="K70" s="277"/>
      <c r="L70" s="276">
        <f>+D70/I70</f>
        <v>8.4786250795990434E-2</v>
      </c>
      <c r="M70" s="277"/>
      <c r="N70" s="278"/>
      <c r="O70" s="90"/>
    </row>
    <row r="71" spans="1:15" ht="13.5" thickBot="1" x14ac:dyDescent="0.25">
      <c r="A71" s="292" t="s">
        <v>41</v>
      </c>
      <c r="B71" s="293"/>
      <c r="C71" s="293"/>
      <c r="D71" s="294">
        <f>+M41</f>
        <v>6.0169086601923563E-2</v>
      </c>
      <c r="E71" s="294"/>
      <c r="F71" s="294"/>
      <c r="G71" s="294"/>
      <c r="H71" s="294"/>
      <c r="I71" s="276">
        <f>+$J$10</f>
        <v>1</v>
      </c>
      <c r="J71" s="277"/>
      <c r="K71" s="277"/>
      <c r="L71" s="276">
        <f>+D71/I71</f>
        <v>6.0169086601923563E-2</v>
      </c>
      <c r="M71" s="277"/>
      <c r="N71" s="278"/>
      <c r="O71" s="90"/>
    </row>
    <row r="72" spans="1:15" x14ac:dyDescent="0.2">
      <c r="A72" s="269" t="s">
        <v>155</v>
      </c>
      <c r="B72" s="270"/>
      <c r="C72" s="270"/>
      <c r="D72" s="270"/>
      <c r="E72" s="270"/>
      <c r="F72" s="270"/>
      <c r="G72" s="270"/>
      <c r="H72" s="270"/>
      <c r="I72" s="270"/>
      <c r="J72" s="270"/>
      <c r="K72" s="270"/>
      <c r="L72" s="270"/>
      <c r="M72" s="270"/>
      <c r="N72" s="270"/>
      <c r="O72" s="90"/>
    </row>
    <row r="73" spans="1:15" x14ac:dyDescent="0.2">
      <c r="A73" s="90"/>
      <c r="B73" s="90"/>
      <c r="C73" s="44"/>
      <c r="D73" s="44"/>
      <c r="E73" s="198"/>
      <c r="F73" s="198"/>
      <c r="G73" s="198"/>
      <c r="H73" s="198"/>
      <c r="I73" s="198"/>
      <c r="J73" s="198"/>
      <c r="K73" s="198"/>
      <c r="L73" s="198"/>
      <c r="M73" s="198"/>
      <c r="N73" s="198"/>
      <c r="O73" s="90"/>
    </row>
    <row r="74" spans="1:15" x14ac:dyDescent="0.2">
      <c r="A74" s="90"/>
      <c r="B74" s="90"/>
      <c r="C74" s="44"/>
      <c r="D74" s="44"/>
      <c r="E74" s="198"/>
      <c r="F74" s="198"/>
      <c r="G74" s="198"/>
      <c r="H74" s="198"/>
      <c r="I74" s="198"/>
      <c r="J74" s="198"/>
      <c r="K74" s="198"/>
      <c r="L74" s="198"/>
      <c r="M74" s="198"/>
      <c r="N74" s="198"/>
      <c r="O74" s="90"/>
    </row>
    <row r="75" spans="1:15" x14ac:dyDescent="0.2">
      <c r="A75" s="90"/>
      <c r="B75" s="90"/>
      <c r="C75" s="44"/>
      <c r="D75" s="44"/>
      <c r="E75" s="198"/>
      <c r="F75" s="198"/>
      <c r="G75" s="198"/>
      <c r="H75" s="198"/>
      <c r="I75" s="198"/>
      <c r="J75" s="198"/>
      <c r="K75" s="198"/>
      <c r="L75" s="198"/>
      <c r="M75" s="198"/>
      <c r="N75" s="198"/>
      <c r="O75" s="90"/>
    </row>
    <row r="76" spans="1:15" x14ac:dyDescent="0.2">
      <c r="A76" s="90"/>
      <c r="B76" s="90"/>
      <c r="C76" s="44"/>
      <c r="D76" s="44"/>
      <c r="E76" s="198"/>
      <c r="F76" s="198"/>
      <c r="G76" s="198"/>
      <c r="H76" s="198"/>
      <c r="I76" s="198"/>
      <c r="J76" s="198"/>
      <c r="K76" s="198"/>
      <c r="L76" s="198"/>
      <c r="M76" s="198"/>
      <c r="N76" s="198"/>
      <c r="O76" s="90"/>
    </row>
    <row r="77" spans="1:15" x14ac:dyDescent="0.2">
      <c r="A77" s="202"/>
      <c r="B77" s="90"/>
      <c r="C77" s="44"/>
      <c r="D77" s="44"/>
      <c r="E77" s="198"/>
      <c r="F77" s="198"/>
      <c r="G77" s="198"/>
      <c r="H77" s="198"/>
      <c r="I77" s="198"/>
      <c r="J77" s="198"/>
      <c r="K77" s="198"/>
      <c r="L77" s="198"/>
      <c r="M77" s="198"/>
      <c r="N77" s="198"/>
      <c r="O77" s="90"/>
    </row>
    <row r="78" spans="1:15" x14ac:dyDescent="0.2">
      <c r="A78" s="90"/>
      <c r="B78" s="90"/>
      <c r="C78" s="90"/>
      <c r="D78" s="90"/>
      <c r="E78" s="90"/>
      <c r="F78" s="90"/>
      <c r="G78" s="90"/>
      <c r="H78" s="90"/>
      <c r="I78" s="90"/>
      <c r="J78" s="90"/>
      <c r="K78" s="90"/>
      <c r="L78" s="90"/>
      <c r="M78" s="90"/>
      <c r="N78" s="90"/>
      <c r="O78" s="90"/>
    </row>
    <row r="79" spans="1:15" x14ac:dyDescent="0.2">
      <c r="A79" s="201"/>
      <c r="B79" s="201"/>
      <c r="C79" s="201"/>
      <c r="D79" s="201"/>
      <c r="E79" s="201"/>
      <c r="F79" s="201"/>
      <c r="G79" s="201"/>
      <c r="H79" s="201"/>
      <c r="I79" s="201"/>
      <c r="J79" s="201"/>
      <c r="K79" s="201"/>
      <c r="L79" s="201"/>
      <c r="M79" s="201"/>
      <c r="N79" s="201"/>
      <c r="O79" s="201"/>
    </row>
    <row r="80" spans="1:15" x14ac:dyDescent="0.2">
      <c r="A80" s="201"/>
      <c r="B80" s="201"/>
      <c r="C80" s="201"/>
      <c r="D80" s="201"/>
      <c r="E80" s="201"/>
      <c r="F80" s="201"/>
      <c r="G80" s="201"/>
      <c r="H80" s="201"/>
      <c r="I80" s="201"/>
      <c r="J80" s="201"/>
      <c r="K80" s="201"/>
      <c r="L80" s="201"/>
      <c r="M80" s="201"/>
      <c r="N80" s="201"/>
      <c r="O80" s="201"/>
    </row>
    <row r="81" spans="1:15" x14ac:dyDescent="0.2">
      <c r="A81" s="63"/>
      <c r="B81" s="63"/>
      <c r="C81" s="63"/>
      <c r="D81" s="63"/>
      <c r="E81" s="63"/>
      <c r="F81" s="63"/>
      <c r="G81" s="63"/>
      <c r="H81" s="63"/>
      <c r="I81" s="63"/>
      <c r="J81" s="63"/>
      <c r="K81" s="63"/>
      <c r="L81" s="63"/>
      <c r="M81" s="63"/>
      <c r="N81" s="63"/>
      <c r="O81" s="201"/>
    </row>
    <row r="82" spans="1:15" x14ac:dyDescent="0.2">
      <c r="A82" s="203"/>
      <c r="B82" s="203"/>
      <c r="C82" s="203"/>
      <c r="D82" s="203"/>
      <c r="E82" s="203"/>
      <c r="F82" s="203"/>
      <c r="G82" s="203"/>
      <c r="H82" s="203"/>
      <c r="I82" s="203"/>
      <c r="J82" s="203"/>
      <c r="K82" s="203"/>
      <c r="L82" s="203"/>
      <c r="M82" s="203"/>
      <c r="N82" s="203"/>
      <c r="O82" s="201"/>
    </row>
    <row r="83" spans="1:15" x14ac:dyDescent="0.2">
      <c r="A83" s="204"/>
      <c r="B83" s="204"/>
      <c r="C83" s="204"/>
      <c r="D83" s="204"/>
      <c r="E83" s="63"/>
      <c r="F83" s="63"/>
      <c r="G83" s="63"/>
      <c r="H83" s="63"/>
      <c r="I83" s="63"/>
      <c r="J83" s="63"/>
      <c r="K83" s="63"/>
      <c r="L83" s="63"/>
      <c r="M83" s="63"/>
      <c r="N83" s="63"/>
      <c r="O83" s="201"/>
    </row>
    <row r="84" spans="1:15" x14ac:dyDescent="0.2">
      <c r="A84" s="204"/>
      <c r="B84" s="204"/>
      <c r="C84" s="204"/>
      <c r="D84" s="204"/>
      <c r="E84" s="203"/>
      <c r="F84" s="201"/>
      <c r="G84" s="201"/>
      <c r="H84" s="203"/>
      <c r="I84" s="203"/>
      <c r="J84" s="203"/>
      <c r="K84" s="63"/>
      <c r="L84" s="63"/>
      <c r="M84" s="203"/>
      <c r="N84" s="203"/>
      <c r="O84" s="201"/>
    </row>
    <row r="85" spans="1:15" x14ac:dyDescent="0.2">
      <c r="A85" s="205"/>
      <c r="B85" s="205"/>
      <c r="C85" s="205"/>
      <c r="D85" s="205"/>
      <c r="E85" s="198"/>
      <c r="F85" s="44"/>
      <c r="G85" s="44"/>
      <c r="H85" s="198"/>
      <c r="I85" s="44"/>
      <c r="J85" s="44"/>
      <c r="K85" s="44"/>
      <c r="L85" s="44"/>
      <c r="M85" s="194"/>
      <c r="N85" s="194"/>
      <c r="O85" s="201"/>
    </row>
    <row r="86" spans="1:15" x14ac:dyDescent="0.2">
      <c r="A86" s="205"/>
      <c r="B86" s="205"/>
      <c r="C86" s="205"/>
      <c r="D86" s="205"/>
      <c r="E86" s="198"/>
      <c r="F86" s="44"/>
      <c r="G86" s="44"/>
      <c r="H86" s="198"/>
      <c r="I86" s="44"/>
      <c r="J86" s="44"/>
      <c r="K86" s="44"/>
      <c r="L86" s="44"/>
      <c r="M86" s="194"/>
      <c r="N86" s="194"/>
      <c r="O86" s="201"/>
    </row>
    <row r="87" spans="1:15" x14ac:dyDescent="0.2">
      <c r="A87" s="205"/>
      <c r="B87" s="205"/>
      <c r="C87" s="205"/>
      <c r="D87" s="205"/>
      <c r="E87" s="198"/>
      <c r="F87" s="44"/>
      <c r="G87" s="44"/>
      <c r="H87" s="198"/>
      <c r="I87" s="44"/>
      <c r="J87" s="44"/>
      <c r="K87" s="44"/>
      <c r="L87" s="44"/>
      <c r="M87" s="194"/>
      <c r="N87" s="194"/>
      <c r="O87" s="201"/>
    </row>
    <row r="88" spans="1:15" x14ac:dyDescent="0.2">
      <c r="A88" s="201"/>
      <c r="B88" s="201"/>
      <c r="C88" s="201"/>
      <c r="D88" s="201"/>
      <c r="E88" s="201"/>
      <c r="F88" s="201"/>
      <c r="G88" s="201"/>
      <c r="H88" s="201"/>
      <c r="I88" s="201"/>
      <c r="J88" s="201"/>
      <c r="K88" s="201"/>
      <c r="L88" s="201"/>
      <c r="M88" s="201"/>
      <c r="N88" s="201"/>
      <c r="O88" s="201"/>
    </row>
    <row r="89" spans="1:15" x14ac:dyDescent="0.2">
      <c r="A89" s="201"/>
      <c r="B89" s="201"/>
      <c r="C89" s="201"/>
      <c r="D89" s="201"/>
      <c r="E89" s="201"/>
      <c r="F89" s="201"/>
      <c r="G89" s="201"/>
      <c r="H89" s="201"/>
      <c r="I89" s="201"/>
      <c r="J89" s="201"/>
      <c r="K89" s="201"/>
      <c r="L89" s="201"/>
      <c r="M89" s="201"/>
      <c r="N89" s="201"/>
      <c r="O89" s="201"/>
    </row>
  </sheetData>
  <mergeCells count="234">
    <mergeCell ref="K4:N4"/>
    <mergeCell ref="A7:C7"/>
    <mergeCell ref="E7:G7"/>
    <mergeCell ref="H7:J7"/>
    <mergeCell ref="K7:N7"/>
    <mergeCell ref="E6:G6"/>
    <mergeCell ref="H6:J6"/>
    <mergeCell ref="K6:N6"/>
    <mergeCell ref="A2:N2"/>
    <mergeCell ref="A3:G3"/>
    <mergeCell ref="H3:N3"/>
    <mergeCell ref="A5:C5"/>
    <mergeCell ref="E5:G5"/>
    <mergeCell ref="H5:J5"/>
    <mergeCell ref="K5:N5"/>
    <mergeCell ref="A4:C4"/>
    <mergeCell ref="E4:G4"/>
    <mergeCell ref="H4:J4"/>
    <mergeCell ref="A9:G9"/>
    <mergeCell ref="H9:I9"/>
    <mergeCell ref="J9:N9"/>
    <mergeCell ref="A6:C6"/>
    <mergeCell ref="A10:G10"/>
    <mergeCell ref="H10:I10"/>
    <mergeCell ref="J10:N10"/>
    <mergeCell ref="A8:G8"/>
    <mergeCell ref="H8:I8"/>
    <mergeCell ref="J8:N8"/>
    <mergeCell ref="H11:I11"/>
    <mergeCell ref="J11:N11"/>
    <mergeCell ref="A13:G13"/>
    <mergeCell ref="H13:I13"/>
    <mergeCell ref="J13:N13"/>
    <mergeCell ref="A12:G12"/>
    <mergeCell ref="H12:I12"/>
    <mergeCell ref="J12:N12"/>
    <mergeCell ref="A11:D11"/>
    <mergeCell ref="A14:G14"/>
    <mergeCell ref="H14:I14"/>
    <mergeCell ref="J14:N14"/>
    <mergeCell ref="A16:G16"/>
    <mergeCell ref="H16:I16"/>
    <mergeCell ref="J16:N16"/>
    <mergeCell ref="A15:G15"/>
    <mergeCell ref="H15:I15"/>
    <mergeCell ref="J15:N15"/>
    <mergeCell ref="A22:N22"/>
    <mergeCell ref="A23:B23"/>
    <mergeCell ref="C23:E23"/>
    <mergeCell ref="F23:G23"/>
    <mergeCell ref="A19:G19"/>
    <mergeCell ref="H19:I19"/>
    <mergeCell ref="J19:N19"/>
    <mergeCell ref="A17:G17"/>
    <mergeCell ref="H17:I17"/>
    <mergeCell ref="J17:N17"/>
    <mergeCell ref="A18:G18"/>
    <mergeCell ref="H18:I18"/>
    <mergeCell ref="J18:N18"/>
    <mergeCell ref="A28:B28"/>
    <mergeCell ref="C28:E28"/>
    <mergeCell ref="F28:G28"/>
    <mergeCell ref="A27:B27"/>
    <mergeCell ref="C27:E27"/>
    <mergeCell ref="F27:G27"/>
    <mergeCell ref="M26:N26"/>
    <mergeCell ref="M23:N23"/>
    <mergeCell ref="H27:I27"/>
    <mergeCell ref="J27:L27"/>
    <mergeCell ref="M27:N27"/>
    <mergeCell ref="A26:B26"/>
    <mergeCell ref="C26:E26"/>
    <mergeCell ref="F26:G26"/>
    <mergeCell ref="H26:I26"/>
    <mergeCell ref="J26:L26"/>
    <mergeCell ref="A24:B25"/>
    <mergeCell ref="C24:E25"/>
    <mergeCell ref="F24:G25"/>
    <mergeCell ref="H24:I25"/>
    <mergeCell ref="J24:L25"/>
    <mergeCell ref="M24:N25"/>
    <mergeCell ref="H23:I23"/>
    <mergeCell ref="J23:L23"/>
    <mergeCell ref="A33:B33"/>
    <mergeCell ref="C33:E33"/>
    <mergeCell ref="F33:G33"/>
    <mergeCell ref="H33:I33"/>
    <mergeCell ref="J33:K33"/>
    <mergeCell ref="M34:N35"/>
    <mergeCell ref="C35:E35"/>
    <mergeCell ref="J35:K36"/>
    <mergeCell ref="F36:G36"/>
    <mergeCell ref="H36:I36"/>
    <mergeCell ref="M36:N36"/>
    <mergeCell ref="A42:N42"/>
    <mergeCell ref="A46:N46"/>
    <mergeCell ref="A47:B47"/>
    <mergeCell ref="D47:E47"/>
    <mergeCell ref="G47:H47"/>
    <mergeCell ref="J47:K47"/>
    <mergeCell ref="M47:N47"/>
    <mergeCell ref="M39:N39"/>
    <mergeCell ref="H28:I28"/>
    <mergeCell ref="J28:L28"/>
    <mergeCell ref="M28:N28"/>
    <mergeCell ref="M33:N33"/>
    <mergeCell ref="A37:B37"/>
    <mergeCell ref="F37:G37"/>
    <mergeCell ref="H37:I37"/>
    <mergeCell ref="J37:K37"/>
    <mergeCell ref="M37:N37"/>
    <mergeCell ref="A34:B36"/>
    <mergeCell ref="C34:E34"/>
    <mergeCell ref="F34:G35"/>
    <mergeCell ref="H34:I35"/>
    <mergeCell ref="J34:K34"/>
    <mergeCell ref="L34:L36"/>
    <mergeCell ref="A32:N32"/>
    <mergeCell ref="A38:B38"/>
    <mergeCell ref="F38:G38"/>
    <mergeCell ref="H38:I38"/>
    <mergeCell ref="J38:K38"/>
    <mergeCell ref="M38:N38"/>
    <mergeCell ref="M41:N41"/>
    <mergeCell ref="J40:K41"/>
    <mergeCell ref="L40:L41"/>
    <mergeCell ref="M40:N40"/>
    <mergeCell ref="A40:B41"/>
    <mergeCell ref="C40:C41"/>
    <mergeCell ref="D40:D41"/>
    <mergeCell ref="E40:E41"/>
    <mergeCell ref="F40:G41"/>
    <mergeCell ref="H40:I41"/>
    <mergeCell ref="A39:B39"/>
    <mergeCell ref="F39:G39"/>
    <mergeCell ref="H39:I39"/>
    <mergeCell ref="J39:K39"/>
    <mergeCell ref="G60:H60"/>
    <mergeCell ref="J60:K60"/>
    <mergeCell ref="M60:N60"/>
    <mergeCell ref="M55:N55"/>
    <mergeCell ref="M51:N52"/>
    <mergeCell ref="G48:H50"/>
    <mergeCell ref="I48:I50"/>
    <mergeCell ref="J53:K53"/>
    <mergeCell ref="A54:B54"/>
    <mergeCell ref="D54:E54"/>
    <mergeCell ref="G54:H54"/>
    <mergeCell ref="J54:K54"/>
    <mergeCell ref="J48:K50"/>
    <mergeCell ref="M53:N53"/>
    <mergeCell ref="A48:B52"/>
    <mergeCell ref="C48:C50"/>
    <mergeCell ref="D48:E50"/>
    <mergeCell ref="F48:F50"/>
    <mergeCell ref="L51:L52"/>
    <mergeCell ref="L48:L50"/>
    <mergeCell ref="M48:N50"/>
    <mergeCell ref="C51:C52"/>
    <mergeCell ref="G51:H52"/>
    <mergeCell ref="A53:B53"/>
    <mergeCell ref="A57:B57"/>
    <mergeCell ref="D57:E57"/>
    <mergeCell ref="G57:H57"/>
    <mergeCell ref="M57:N57"/>
    <mergeCell ref="A55:B55"/>
    <mergeCell ref="D55:E55"/>
    <mergeCell ref="G55:H55"/>
    <mergeCell ref="J55:K55"/>
    <mergeCell ref="I51:I52"/>
    <mergeCell ref="J51:K52"/>
    <mergeCell ref="D53:E53"/>
    <mergeCell ref="G53:H53"/>
    <mergeCell ref="D51:E52"/>
    <mergeCell ref="F51:F52"/>
    <mergeCell ref="A72:N72"/>
    <mergeCell ref="A64:N64"/>
    <mergeCell ref="A65:C65"/>
    <mergeCell ref="D65:H65"/>
    <mergeCell ref="L70:N70"/>
    <mergeCell ref="L68:N68"/>
    <mergeCell ref="A69:C69"/>
    <mergeCell ref="D69:H69"/>
    <mergeCell ref="I69:K69"/>
    <mergeCell ref="I70:K70"/>
    <mergeCell ref="I65:K65"/>
    <mergeCell ref="L65:N65"/>
    <mergeCell ref="A66:C67"/>
    <mergeCell ref="D66:H66"/>
    <mergeCell ref="I66:K67"/>
    <mergeCell ref="L66:N66"/>
    <mergeCell ref="D67:H67"/>
    <mergeCell ref="I68:K68"/>
    <mergeCell ref="L69:N69"/>
    <mergeCell ref="A71:C71"/>
    <mergeCell ref="D71:H71"/>
    <mergeCell ref="I71:K71"/>
    <mergeCell ref="L71:N71"/>
    <mergeCell ref="L67:N67"/>
    <mergeCell ref="A68:C68"/>
    <mergeCell ref="D68:H68"/>
    <mergeCell ref="A70:C70"/>
    <mergeCell ref="D70:H70"/>
    <mergeCell ref="M54:N54"/>
    <mergeCell ref="A58:B58"/>
    <mergeCell ref="D58:E58"/>
    <mergeCell ref="G58:H58"/>
    <mergeCell ref="J58:K58"/>
    <mergeCell ref="M58:N58"/>
    <mergeCell ref="A59:B59"/>
    <mergeCell ref="D59:E59"/>
    <mergeCell ref="G59:H59"/>
    <mergeCell ref="J59:K59"/>
    <mergeCell ref="J57:K57"/>
    <mergeCell ref="M59:N59"/>
    <mergeCell ref="A60:B60"/>
    <mergeCell ref="D60:E60"/>
    <mergeCell ref="A61:N61"/>
    <mergeCell ref="A56:B56"/>
    <mergeCell ref="D56:E56"/>
    <mergeCell ref="G56:H56"/>
    <mergeCell ref="J56:K56"/>
    <mergeCell ref="M56:N56"/>
    <mergeCell ref="R12:S12"/>
    <mergeCell ref="R17:V19"/>
    <mergeCell ref="R6:V7"/>
    <mergeCell ref="R8:S9"/>
    <mergeCell ref="T8:V8"/>
    <mergeCell ref="R15:S15"/>
    <mergeCell ref="R11:S11"/>
    <mergeCell ref="R16:S16"/>
    <mergeCell ref="R13:S13"/>
    <mergeCell ref="R10:S10"/>
    <mergeCell ref="R14:S14"/>
  </mergeCells>
  <conditionalFormatting sqref="J11:N11">
    <cfRule type="cellIs" dxfId="3" priority="1" stopIfTrue="1" operator="greaterThan">
      <formula>$F$11</formula>
    </cfRule>
  </conditionalFormatting>
  <dataValidations count="11">
    <dataValidation operator="greaterThan" allowBlank="1" showInputMessage="1" showErrorMessage="1" sqref="J9:N9" xr:uid="{00000000-0002-0000-0100-000000000000}"/>
    <dataValidation type="decimal" operator="greaterThan" allowBlank="1" showInputMessage="1" showErrorMessage="1" sqref="J10:N10" xr:uid="{00000000-0002-0000-0100-000001000000}">
      <formula1>0</formula1>
    </dataValidation>
    <dataValidation type="list" allowBlank="1" showInputMessage="1" showErrorMessage="1" sqref="J14:N14" xr:uid="{00000000-0002-0000-0100-000002000000}">
      <formula1>SType</formula1>
    </dataValidation>
    <dataValidation type="list" allowBlank="1" showInputMessage="1" showErrorMessage="1" errorTitle="Input Error" error="Select from the shoulder width options provided.  Refer to p. 11-13 of the HSM for shoulder rounding recommendations." sqref="J13:N13" xr:uid="{00000000-0002-0000-0100-000003000000}">
      <formula1>Shld2</formula1>
    </dataValidation>
    <dataValidation type="list" allowBlank="1" showInputMessage="1" showErrorMessage="1" errorTitle="Input Error" error="Select from the lane width options provided. Refer to p. 11-13 of the HSM for lane width rounding recommendations.  " sqref="J12:N12" xr:uid="{00000000-0002-0000-0100-000004000000}">
      <formula1>LWidth</formula1>
    </dataValidation>
    <dataValidation type="whole" operator="lessThanOrEqual" allowBlank="1" showInputMessage="1" showErrorMessage="1" sqref="J11:N11" xr:uid="{00000000-0002-0000-0100-000005000000}">
      <formula1>89300</formula1>
    </dataValidation>
    <dataValidation type="list" allowBlank="1" showInputMessage="1" showErrorMessage="1" sqref="J17:N17" xr:uid="{00000000-0002-0000-0100-000006000000}">
      <formula1>Lighting</formula1>
    </dataValidation>
    <dataValidation type="list" allowBlank="1" showInputMessage="1" showErrorMessage="1" errorTitle="Invalid" sqref="J18:N18" xr:uid="{00000000-0002-0000-0100-000007000000}">
      <formula1>SpEnforce</formula1>
    </dataValidation>
    <dataValidation type="list" allowBlank="1" showInputMessage="1" showErrorMessage="1" errorTitle="Input Error" error="Please select only median width options shown.  Refer to rounding criteria on p. 11-12 of the HSM for candidate median widths." sqref="J15:N15" xr:uid="{00000000-0002-0000-0100-000008000000}">
      <formula1>MWidth</formula1>
    </dataValidation>
    <dataValidation type="decimal" allowBlank="1" showInputMessage="1" showErrorMessage="1" sqref="J19:N19" xr:uid="{00000000-0002-0000-0100-000009000000}">
      <formula1>0</formula1>
      <formula2>10</formula2>
    </dataValidation>
    <dataValidation type="whole" operator="greaterThan" allowBlank="1" showInputMessage="1" showErrorMessage="1" sqref="K7:N7" xr:uid="{00000000-0002-0000-0100-00000A000000}">
      <formula1>1990</formula1>
    </dataValidation>
  </dataValidations>
  <pageMargins left="0.7" right="0.7" top="0.75" bottom="0.75" header="0.3" footer="0.3"/>
  <pageSetup orientation="portrait" r:id="rId1"/>
  <ignoredErrors>
    <ignoredError sqref="A23 C23 F23 H23 J23 M23 A33 C33 F33 H33 J33 L33:M3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BD89"/>
  <sheetViews>
    <sheetView topLeftCell="A46" zoomScaleNormal="100" workbookViewId="0">
      <selection activeCell="J24" sqref="J24:N25"/>
    </sheetView>
  </sheetViews>
  <sheetFormatPr defaultColWidth="8.85546875" defaultRowHeight="12.75" x14ac:dyDescent="0.2"/>
  <cols>
    <col min="1" max="1" width="13.140625" style="18" customWidth="1"/>
    <col min="2" max="2" width="14.28515625" style="18" customWidth="1"/>
    <col min="3" max="4" width="11.5703125" style="18" customWidth="1"/>
    <col min="5" max="5" width="11.140625" style="18" customWidth="1"/>
    <col min="6" max="6" width="12.28515625" style="18" customWidth="1"/>
    <col min="7" max="8" width="8.85546875" style="18"/>
    <col min="9" max="9" width="11" style="18" customWidth="1"/>
    <col min="10" max="10" width="8.85546875" style="18"/>
    <col min="11" max="11" width="10.5703125" style="18" customWidth="1"/>
    <col min="12" max="12" width="11.140625" style="18" customWidth="1"/>
    <col min="13" max="13" width="12.28515625" style="18" customWidth="1"/>
    <col min="14" max="14" width="11.28515625" style="18" customWidth="1"/>
    <col min="15" max="17" width="8.85546875" style="18"/>
    <col min="18" max="18" width="11.28515625" style="18" customWidth="1"/>
    <col min="19" max="19" width="11" style="18" customWidth="1"/>
    <col min="20" max="20" width="12" style="18" customWidth="1"/>
    <col min="21" max="21" width="13.28515625" style="18" customWidth="1"/>
    <col min="22" max="22" width="10.28515625" style="18" customWidth="1"/>
    <col min="23" max="23" width="11" style="18" customWidth="1"/>
    <col min="24" max="24" width="10.7109375" style="18" customWidth="1"/>
    <col min="25" max="25" width="13.28515625" style="18" customWidth="1"/>
    <col min="26" max="26" width="10" style="18" customWidth="1"/>
    <col min="27" max="27" width="13.28515625" style="18" customWidth="1"/>
    <col min="28" max="32" width="8.85546875" style="18"/>
    <col min="33" max="33" width="10.7109375" style="18" customWidth="1"/>
    <col min="34" max="36" width="8.85546875" style="18"/>
    <col min="37" max="37" width="10.140625" style="18" customWidth="1"/>
    <col min="38" max="16384" width="8.85546875" style="18"/>
  </cols>
  <sheetData>
    <row r="1" spans="1:56" ht="13.15" customHeight="1" thickBot="1" x14ac:dyDescent="0.25">
      <c r="AX1" s="90"/>
      <c r="AY1" s="90"/>
      <c r="AZ1" s="90"/>
      <c r="BA1" s="90"/>
      <c r="BB1" s="90"/>
      <c r="BC1" s="90"/>
      <c r="BD1" s="90"/>
    </row>
    <row r="2" spans="1:56" ht="13.15" customHeight="1" thickTop="1" thickBot="1" x14ac:dyDescent="0.25">
      <c r="A2" s="271" t="s">
        <v>112</v>
      </c>
      <c r="B2" s="328"/>
      <c r="C2" s="328"/>
      <c r="D2" s="328"/>
      <c r="E2" s="347"/>
      <c r="F2" s="347"/>
      <c r="G2" s="347"/>
      <c r="H2" s="347"/>
      <c r="I2" s="347"/>
      <c r="J2" s="347"/>
      <c r="K2" s="347"/>
      <c r="L2" s="347"/>
      <c r="M2" s="347"/>
      <c r="N2" s="347"/>
      <c r="R2" s="181" t="s">
        <v>296</v>
      </c>
      <c r="AX2" s="90"/>
      <c r="AY2" s="43"/>
      <c r="AZ2" s="43"/>
      <c r="BA2" s="43"/>
      <c r="BB2" s="43"/>
      <c r="BC2" s="43"/>
      <c r="BD2" s="90"/>
    </row>
    <row r="3" spans="1:56" ht="13.15" customHeight="1" x14ac:dyDescent="0.2">
      <c r="A3" s="415" t="s">
        <v>0</v>
      </c>
      <c r="B3" s="416"/>
      <c r="C3" s="416"/>
      <c r="D3" s="416"/>
      <c r="E3" s="416"/>
      <c r="F3" s="416"/>
      <c r="G3" s="417"/>
      <c r="H3" s="418" t="s">
        <v>11</v>
      </c>
      <c r="I3" s="419"/>
      <c r="J3" s="419"/>
      <c r="K3" s="419"/>
      <c r="L3" s="419"/>
      <c r="M3" s="419"/>
      <c r="N3" s="419"/>
      <c r="AX3" s="90"/>
      <c r="AY3" s="43"/>
      <c r="AZ3" s="43"/>
      <c r="BA3" s="43"/>
      <c r="BB3" s="43"/>
      <c r="BC3" s="43"/>
      <c r="BD3" s="90"/>
    </row>
    <row r="4" spans="1:56" ht="13.15" customHeight="1" x14ac:dyDescent="0.2">
      <c r="A4" s="420" t="s">
        <v>1</v>
      </c>
      <c r="B4" s="420"/>
      <c r="C4" s="420"/>
      <c r="D4" s="172"/>
      <c r="E4" s="404" t="s">
        <v>388</v>
      </c>
      <c r="F4" s="400"/>
      <c r="G4" s="421"/>
      <c r="H4" s="422" t="s">
        <v>12</v>
      </c>
      <c r="I4" s="420"/>
      <c r="J4" s="395"/>
      <c r="K4" s="404" t="s">
        <v>391</v>
      </c>
      <c r="L4" s="400"/>
      <c r="M4" s="400"/>
      <c r="N4" s="400"/>
      <c r="R4" s="98" t="s">
        <v>195</v>
      </c>
      <c r="V4" s="182">
        <f>IF($J$11&gt;2000,(VLOOKUP($J$13,$R$34:$V$42,5,FALSE)),IF($J$11&lt;400,(VLOOKUP($J$13,$R$34:$V$42,3,FALSE)),(VLOOKUP($J$13,$R$34:$V$42,4))))</f>
        <v>1</v>
      </c>
      <c r="AX4" s="90"/>
      <c r="AY4" s="183"/>
      <c r="AZ4" s="183"/>
      <c r="BA4" s="43"/>
      <c r="BB4" s="43"/>
      <c r="BC4" s="43"/>
      <c r="BD4" s="90"/>
    </row>
    <row r="5" spans="1:56" ht="13.15" customHeight="1" x14ac:dyDescent="0.2">
      <c r="A5" s="398" t="s">
        <v>2</v>
      </c>
      <c r="B5" s="398"/>
      <c r="C5" s="398"/>
      <c r="D5" s="173"/>
      <c r="E5" s="414" t="s">
        <v>389</v>
      </c>
      <c r="F5" s="412"/>
      <c r="G5" s="413"/>
      <c r="H5" s="406" t="s">
        <v>13</v>
      </c>
      <c r="I5" s="407"/>
      <c r="J5" s="408"/>
      <c r="K5" s="414" t="s">
        <v>392</v>
      </c>
      <c r="L5" s="412"/>
      <c r="M5" s="412"/>
      <c r="N5" s="412"/>
      <c r="AX5" s="90"/>
      <c r="AY5" s="183"/>
      <c r="AZ5" s="183"/>
      <c r="BA5" s="43"/>
      <c r="BB5" s="43"/>
      <c r="BC5" s="43"/>
      <c r="BD5" s="90"/>
    </row>
    <row r="6" spans="1:56" ht="13.15" customHeight="1" x14ac:dyDescent="0.2">
      <c r="A6" s="398" t="s">
        <v>3</v>
      </c>
      <c r="B6" s="398"/>
      <c r="C6" s="398"/>
      <c r="D6" s="173"/>
      <c r="E6" s="411" t="s">
        <v>390</v>
      </c>
      <c r="F6" s="412"/>
      <c r="G6" s="413"/>
      <c r="H6" s="406" t="s">
        <v>14</v>
      </c>
      <c r="I6" s="407"/>
      <c r="J6" s="408"/>
      <c r="K6" s="414" t="s">
        <v>393</v>
      </c>
      <c r="L6" s="412"/>
      <c r="M6" s="412"/>
      <c r="N6" s="412"/>
      <c r="R6" s="98" t="s">
        <v>196</v>
      </c>
      <c r="V6" s="182">
        <f>IF($J$14="Paved",(HLOOKUP($J$13,'Reference Tables (Segment)'!$P$9:$Z$13,2,FALSE)),(IF($J$14="Gravel",(HLOOKUP($J$13,'Reference Tables (Segment)'!$P$9:$Z$13,3,FALSE)),(IF($J$14="Turf",(HLOOKUP($J$13,'Reference Tables (Segment)'!$P$9:$Z$13,5,FALSE)),HLOOKUP($J$13,'Reference Tables (Segment)'!$P$9:$Z$13,4,FALSE))))))</f>
        <v>1</v>
      </c>
      <c r="AX6" s="90"/>
      <c r="AY6" s="184"/>
      <c r="AZ6" s="44"/>
      <c r="BA6" s="185"/>
      <c r="BB6" s="185"/>
      <c r="BC6" s="185"/>
      <c r="BD6" s="90"/>
    </row>
    <row r="7" spans="1:56" ht="13.15" customHeight="1" x14ac:dyDescent="0.2">
      <c r="A7" s="405"/>
      <c r="B7" s="405"/>
      <c r="C7" s="405"/>
      <c r="D7" s="174"/>
      <c r="E7" s="406"/>
      <c r="F7" s="407"/>
      <c r="G7" s="408"/>
      <c r="H7" s="406" t="s">
        <v>15</v>
      </c>
      <c r="I7" s="407"/>
      <c r="J7" s="408"/>
      <c r="K7" s="409">
        <v>2019</v>
      </c>
      <c r="L7" s="410"/>
      <c r="M7" s="410"/>
      <c r="N7" s="410"/>
      <c r="AX7" s="90"/>
      <c r="AY7" s="44"/>
      <c r="AZ7" s="44"/>
      <c r="BA7" s="185"/>
      <c r="BB7" s="185"/>
      <c r="BC7" s="185"/>
      <c r="BD7" s="90"/>
    </row>
    <row r="8" spans="1:56" ht="13.15" customHeight="1" x14ac:dyDescent="0.2">
      <c r="A8" s="401" t="s">
        <v>4</v>
      </c>
      <c r="B8" s="388"/>
      <c r="C8" s="388"/>
      <c r="D8" s="388"/>
      <c r="E8" s="388"/>
      <c r="F8" s="388"/>
      <c r="G8" s="402"/>
      <c r="H8" s="403" t="s">
        <v>16</v>
      </c>
      <c r="I8" s="402"/>
      <c r="J8" s="403" t="s">
        <v>18</v>
      </c>
      <c r="K8" s="388"/>
      <c r="L8" s="388"/>
      <c r="M8" s="388"/>
      <c r="N8" s="388"/>
      <c r="AX8" s="90"/>
      <c r="AY8" s="184"/>
      <c r="AZ8" s="44"/>
      <c r="BA8" s="185"/>
      <c r="BB8" s="185"/>
      <c r="BC8" s="185"/>
      <c r="BD8" s="90"/>
    </row>
    <row r="9" spans="1:56" ht="13.15" customHeight="1" x14ac:dyDescent="0.2">
      <c r="A9" s="381" t="s">
        <v>119</v>
      </c>
      <c r="B9" s="382"/>
      <c r="C9" s="382"/>
      <c r="D9" s="382"/>
      <c r="E9" s="382"/>
      <c r="F9" s="382"/>
      <c r="G9" s="283"/>
      <c r="H9" s="394" t="s">
        <v>184</v>
      </c>
      <c r="I9" s="395"/>
      <c r="J9" s="425" t="s">
        <v>184</v>
      </c>
      <c r="K9" s="397"/>
      <c r="L9" s="397"/>
      <c r="M9" s="397"/>
      <c r="N9" s="397"/>
      <c r="AX9" s="90"/>
      <c r="AY9" s="44"/>
      <c r="AZ9" s="44"/>
      <c r="BA9" s="185"/>
      <c r="BB9" s="185"/>
      <c r="BC9" s="185"/>
      <c r="BD9" s="90"/>
    </row>
    <row r="10" spans="1:56" ht="13.15" customHeight="1" thickBot="1" x14ac:dyDescent="0.25">
      <c r="A10" s="382" t="s">
        <v>5</v>
      </c>
      <c r="B10" s="382"/>
      <c r="C10" s="382"/>
      <c r="D10" s="382"/>
      <c r="E10" s="382"/>
      <c r="F10" s="382"/>
      <c r="G10" s="283"/>
      <c r="H10" s="390" t="s">
        <v>17</v>
      </c>
      <c r="I10" s="283"/>
      <c r="J10" s="399">
        <v>1</v>
      </c>
      <c r="K10" s="400"/>
      <c r="L10" s="400"/>
      <c r="M10" s="400"/>
      <c r="N10" s="400"/>
      <c r="R10" s="181" t="s">
        <v>319</v>
      </c>
      <c r="AX10" s="90"/>
      <c r="AY10" s="184"/>
      <c r="AZ10" s="44"/>
      <c r="BA10" s="185"/>
      <c r="BB10" s="185"/>
      <c r="BC10" s="185"/>
      <c r="BD10" s="90"/>
    </row>
    <row r="11" spans="1:56" ht="13.15" customHeight="1" thickBot="1" x14ac:dyDescent="0.25">
      <c r="A11" s="382" t="s">
        <v>6</v>
      </c>
      <c r="B11" s="382"/>
      <c r="C11" s="382"/>
      <c r="D11" s="393"/>
      <c r="E11" s="175" t="s">
        <v>351</v>
      </c>
      <c r="F11" s="176">
        <v>33200</v>
      </c>
      <c r="G11" s="177" t="s">
        <v>352</v>
      </c>
      <c r="H11" s="390" t="s">
        <v>17</v>
      </c>
      <c r="I11" s="283"/>
      <c r="J11" s="391">
        <v>1000</v>
      </c>
      <c r="K11" s="392"/>
      <c r="L11" s="392"/>
      <c r="M11" s="392"/>
      <c r="N11" s="392"/>
      <c r="O11" s="178" t="str">
        <f>IF(J11&gt;F11,"AADT out of range","AADT OK")</f>
        <v>AADT OK</v>
      </c>
      <c r="AX11" s="90"/>
      <c r="AY11" s="44"/>
      <c r="AZ11" s="44"/>
      <c r="BA11" s="185"/>
      <c r="BB11" s="185"/>
      <c r="BC11" s="185"/>
      <c r="BD11" s="90"/>
    </row>
    <row r="12" spans="1:56" ht="13.15" customHeight="1" thickBot="1" x14ac:dyDescent="0.25">
      <c r="A12" s="382" t="s">
        <v>7</v>
      </c>
      <c r="B12" s="382"/>
      <c r="C12" s="382"/>
      <c r="D12" s="382"/>
      <c r="E12" s="382"/>
      <c r="F12" s="382"/>
      <c r="G12" s="283"/>
      <c r="H12" s="261">
        <v>12</v>
      </c>
      <c r="I12" s="283"/>
      <c r="J12" s="384">
        <v>12</v>
      </c>
      <c r="K12" s="385"/>
      <c r="L12" s="385"/>
      <c r="M12" s="385"/>
      <c r="N12" s="385"/>
      <c r="AX12" s="90"/>
      <c r="AY12" s="184"/>
      <c r="AZ12" s="44"/>
      <c r="BA12" s="185"/>
      <c r="BB12" s="185"/>
      <c r="BC12" s="185"/>
      <c r="BD12" s="90"/>
    </row>
    <row r="13" spans="1:56" ht="13.15" customHeight="1" x14ac:dyDescent="0.2">
      <c r="A13" s="381" t="s">
        <v>118</v>
      </c>
      <c r="B13" s="382"/>
      <c r="C13" s="382"/>
      <c r="D13" s="382"/>
      <c r="E13" s="382"/>
      <c r="F13" s="382"/>
      <c r="G13" s="283"/>
      <c r="H13" s="383">
        <v>6</v>
      </c>
      <c r="I13" s="283"/>
      <c r="J13" s="384">
        <v>6</v>
      </c>
      <c r="K13" s="385"/>
      <c r="L13" s="385"/>
      <c r="M13" s="385"/>
      <c r="N13" s="385"/>
      <c r="R13" s="243" t="s">
        <v>327</v>
      </c>
      <c r="S13" s="243"/>
      <c r="T13" s="243"/>
      <c r="U13" s="243"/>
      <c r="V13" s="243"/>
      <c r="AX13" s="90"/>
      <c r="AY13" s="97"/>
      <c r="AZ13" s="90"/>
      <c r="BA13" s="90"/>
      <c r="BB13" s="90"/>
      <c r="BC13" s="90"/>
      <c r="BD13" s="90"/>
    </row>
    <row r="14" spans="1:56" ht="13.15" customHeight="1" thickBot="1" x14ac:dyDescent="0.25">
      <c r="A14" s="381" t="s">
        <v>117</v>
      </c>
      <c r="B14" s="382"/>
      <c r="C14" s="382"/>
      <c r="D14" s="382"/>
      <c r="E14" s="382"/>
      <c r="F14" s="382"/>
      <c r="G14" s="283"/>
      <c r="H14" s="386" t="s">
        <v>67</v>
      </c>
      <c r="I14" s="283"/>
      <c r="J14" s="384" t="s">
        <v>67</v>
      </c>
      <c r="K14" s="385"/>
      <c r="L14" s="385"/>
      <c r="M14" s="385"/>
      <c r="N14" s="385"/>
      <c r="P14" s="90"/>
      <c r="R14" s="244"/>
      <c r="S14" s="244"/>
      <c r="T14" s="244"/>
      <c r="U14" s="244"/>
      <c r="V14" s="244"/>
      <c r="AX14" s="90"/>
      <c r="AY14" s="90"/>
      <c r="AZ14" s="90"/>
      <c r="BA14" s="90"/>
      <c r="BB14" s="90"/>
      <c r="BC14" s="90"/>
      <c r="BD14" s="90"/>
    </row>
    <row r="15" spans="1:56" ht="13.15" customHeight="1" x14ac:dyDescent="0.2">
      <c r="A15" s="381" t="s">
        <v>116</v>
      </c>
      <c r="B15" s="382"/>
      <c r="C15" s="382"/>
      <c r="D15" s="382"/>
      <c r="E15" s="382"/>
      <c r="F15" s="382"/>
      <c r="G15" s="283"/>
      <c r="H15" s="383">
        <v>30</v>
      </c>
      <c r="I15" s="283"/>
      <c r="J15" s="387" t="s">
        <v>207</v>
      </c>
      <c r="K15" s="388"/>
      <c r="L15" s="388"/>
      <c r="M15" s="388"/>
      <c r="N15" s="388"/>
      <c r="P15" s="90"/>
      <c r="R15" s="245" t="s">
        <v>53</v>
      </c>
      <c r="S15" s="246"/>
      <c r="T15" s="249" t="s">
        <v>6</v>
      </c>
      <c r="U15" s="249"/>
      <c r="V15" s="250"/>
      <c r="AX15" s="90"/>
      <c r="AY15" s="90"/>
      <c r="AZ15" s="90"/>
      <c r="BA15" s="90"/>
      <c r="BB15" s="90"/>
      <c r="BC15" s="90"/>
      <c r="BD15" s="90"/>
    </row>
    <row r="16" spans="1:56" ht="13.15" customHeight="1" x14ac:dyDescent="0.2">
      <c r="A16" s="381" t="s">
        <v>114</v>
      </c>
      <c r="B16" s="382"/>
      <c r="C16" s="382"/>
      <c r="D16" s="382"/>
      <c r="E16" s="382"/>
      <c r="F16" s="382"/>
      <c r="G16" s="283"/>
      <c r="H16" s="386" t="s">
        <v>115</v>
      </c>
      <c r="I16" s="283"/>
      <c r="J16" s="384" t="s">
        <v>201</v>
      </c>
      <c r="K16" s="385"/>
      <c r="L16" s="385"/>
      <c r="M16" s="385"/>
      <c r="N16" s="385"/>
      <c r="P16" s="90"/>
      <c r="R16" s="247"/>
      <c r="S16" s="248"/>
      <c r="T16" s="186" t="s">
        <v>59</v>
      </c>
      <c r="U16" s="186" t="s">
        <v>60</v>
      </c>
      <c r="V16" s="187" t="s">
        <v>61</v>
      </c>
    </row>
    <row r="17" spans="1:22" ht="13.15" customHeight="1" x14ac:dyDescent="0.2">
      <c r="A17" s="381" t="s">
        <v>113</v>
      </c>
      <c r="B17" s="382"/>
      <c r="C17" s="382"/>
      <c r="D17" s="382"/>
      <c r="E17" s="382"/>
      <c r="F17" s="382"/>
      <c r="G17" s="283"/>
      <c r="H17" s="383" t="s">
        <v>72</v>
      </c>
      <c r="I17" s="283"/>
      <c r="J17" s="384" t="s">
        <v>72</v>
      </c>
      <c r="K17" s="385"/>
      <c r="L17" s="385"/>
      <c r="M17" s="385"/>
      <c r="N17" s="385"/>
      <c r="P17" s="90"/>
      <c r="R17" s="238">
        <v>9</v>
      </c>
      <c r="S17" s="239"/>
      <c r="T17" s="188">
        <v>1.04</v>
      </c>
      <c r="U17" s="188">
        <f>1.04+0.000213*($J$11-400)</f>
        <v>1.1677999999999999</v>
      </c>
      <c r="V17" s="189">
        <v>1.38</v>
      </c>
    </row>
    <row r="18" spans="1:22" ht="13.15" customHeight="1" x14ac:dyDescent="0.2">
      <c r="A18" s="382" t="s">
        <v>9</v>
      </c>
      <c r="B18" s="382"/>
      <c r="C18" s="382"/>
      <c r="D18" s="382"/>
      <c r="E18" s="382"/>
      <c r="F18" s="382"/>
      <c r="G18" s="283"/>
      <c r="H18" s="383" t="s">
        <v>72</v>
      </c>
      <c r="I18" s="283"/>
      <c r="J18" s="384" t="s">
        <v>72</v>
      </c>
      <c r="K18" s="385"/>
      <c r="L18" s="385"/>
      <c r="M18" s="385"/>
      <c r="N18" s="385"/>
      <c r="P18" s="90"/>
      <c r="R18" s="239">
        <v>9.5</v>
      </c>
      <c r="S18" s="252"/>
      <c r="T18" s="188">
        <f>+(T17+T19)/2</f>
        <v>1.03</v>
      </c>
      <c r="U18" s="188">
        <f>+(U17+U19)/2</f>
        <v>1.1332</v>
      </c>
      <c r="V18" s="189">
        <f>+(V17+V19)/2</f>
        <v>1.3049999999999999</v>
      </c>
    </row>
    <row r="19" spans="1:22" ht="13.15" customHeight="1" thickBot="1" x14ac:dyDescent="0.25">
      <c r="A19" s="375" t="s">
        <v>10</v>
      </c>
      <c r="B19" s="375"/>
      <c r="C19" s="375"/>
      <c r="D19" s="375"/>
      <c r="E19" s="375"/>
      <c r="F19" s="375"/>
      <c r="G19" s="376"/>
      <c r="H19" s="377">
        <v>1</v>
      </c>
      <c r="I19" s="378"/>
      <c r="J19" s="379">
        <v>1</v>
      </c>
      <c r="K19" s="380"/>
      <c r="L19" s="380"/>
      <c r="M19" s="380"/>
      <c r="N19" s="380"/>
      <c r="P19" s="90"/>
      <c r="R19" s="238">
        <v>10</v>
      </c>
      <c r="S19" s="239"/>
      <c r="T19" s="188">
        <v>1.02</v>
      </c>
      <c r="U19" s="188">
        <f>1.02+0.000131*($J$11-400)</f>
        <v>1.0986</v>
      </c>
      <c r="V19" s="189">
        <v>1.23</v>
      </c>
    </row>
    <row r="20" spans="1:22" ht="13.15" customHeight="1" thickTop="1" x14ac:dyDescent="0.2">
      <c r="J20" s="179"/>
      <c r="K20" s="180"/>
      <c r="L20" s="180"/>
      <c r="M20" s="180"/>
      <c r="N20" s="180"/>
      <c r="P20" s="90"/>
      <c r="R20" s="255">
        <v>10.5</v>
      </c>
      <c r="S20" s="255"/>
      <c r="T20" s="188">
        <f>+(T19+T21)/2</f>
        <v>1.0150000000000001</v>
      </c>
      <c r="U20" s="188">
        <f>+(U19+U21)/2</f>
        <v>1.0599400000000001</v>
      </c>
      <c r="V20" s="189">
        <f>+(V19+V21)/2</f>
        <v>1.135</v>
      </c>
    </row>
    <row r="21" spans="1:22" ht="13.5" thickBot="1" x14ac:dyDescent="0.25">
      <c r="A21" s="90"/>
      <c r="B21" s="90"/>
      <c r="C21" s="90"/>
      <c r="D21" s="90"/>
      <c r="E21" s="90"/>
      <c r="F21" s="90"/>
      <c r="G21" s="90"/>
      <c r="H21" s="90"/>
      <c r="I21" s="90"/>
      <c r="J21" s="44"/>
      <c r="K21" s="90"/>
      <c r="L21" s="90"/>
      <c r="M21" s="90"/>
      <c r="N21" s="90"/>
      <c r="P21" s="90"/>
      <c r="R21" s="238">
        <v>11</v>
      </c>
      <c r="S21" s="239"/>
      <c r="T21" s="188">
        <v>1.01</v>
      </c>
      <c r="U21" s="188">
        <f>1.01+0.0000188*($J$11-400)</f>
        <v>1.02128</v>
      </c>
      <c r="V21" s="189">
        <v>1.04</v>
      </c>
    </row>
    <row r="22" spans="1:22" ht="14.25" thickTop="1" thickBot="1" x14ac:dyDescent="0.25">
      <c r="A22" s="372" t="s">
        <v>132</v>
      </c>
      <c r="B22" s="373"/>
      <c r="C22" s="373"/>
      <c r="D22" s="373"/>
      <c r="E22" s="373"/>
      <c r="F22" s="373"/>
      <c r="G22" s="373"/>
      <c r="H22" s="373"/>
      <c r="I22" s="373"/>
      <c r="J22" s="373"/>
      <c r="K22" s="373"/>
      <c r="L22" s="373"/>
      <c r="M22" s="373"/>
      <c r="N22" s="373"/>
      <c r="P22" s="90"/>
      <c r="R22" s="251">
        <v>11.5</v>
      </c>
      <c r="S22" s="251"/>
      <c r="T22" s="188">
        <f>+(T21+T23)/2</f>
        <v>1.0049999999999999</v>
      </c>
      <c r="U22" s="188">
        <f>+(U21+U23)/2</f>
        <v>1.01064</v>
      </c>
      <c r="V22" s="189">
        <f>+(V21+V23)/2</f>
        <v>1.02</v>
      </c>
    </row>
    <row r="23" spans="1:22" ht="13.5" thickBot="1" x14ac:dyDescent="0.25">
      <c r="A23" s="374" t="s">
        <v>19</v>
      </c>
      <c r="B23" s="350"/>
      <c r="C23" s="342" t="s">
        <v>20</v>
      </c>
      <c r="D23" s="342"/>
      <c r="E23" s="350"/>
      <c r="F23" s="342" t="s">
        <v>21</v>
      </c>
      <c r="G23" s="350"/>
      <c r="H23" s="342" t="s">
        <v>22</v>
      </c>
      <c r="I23" s="350"/>
      <c r="J23" s="342" t="s">
        <v>23</v>
      </c>
      <c r="K23" s="350"/>
      <c r="L23" s="350"/>
      <c r="M23" s="342" t="s">
        <v>24</v>
      </c>
      <c r="N23" s="343"/>
      <c r="P23" s="90"/>
      <c r="R23" s="253">
        <v>12</v>
      </c>
      <c r="S23" s="254"/>
      <c r="T23" s="190">
        <v>1</v>
      </c>
      <c r="U23" s="190">
        <v>1</v>
      </c>
      <c r="V23" s="191">
        <v>1</v>
      </c>
    </row>
    <row r="24" spans="1:22" x14ac:dyDescent="0.2">
      <c r="A24" s="364" t="s">
        <v>32</v>
      </c>
      <c r="B24" s="365"/>
      <c r="C24" s="368" t="s">
        <v>135</v>
      </c>
      <c r="D24" s="368"/>
      <c r="E24" s="365"/>
      <c r="F24" s="368" t="s">
        <v>138</v>
      </c>
      <c r="G24" s="365"/>
      <c r="H24" s="369" t="s">
        <v>33</v>
      </c>
      <c r="I24" s="365"/>
      <c r="J24" s="369" t="s">
        <v>34</v>
      </c>
      <c r="K24" s="365"/>
      <c r="L24" s="365"/>
      <c r="M24" s="368" t="s">
        <v>107</v>
      </c>
      <c r="N24" s="370"/>
      <c r="P24" s="90"/>
      <c r="R24" s="240" t="s">
        <v>295</v>
      </c>
      <c r="S24" s="241"/>
      <c r="T24" s="241"/>
      <c r="U24" s="241"/>
      <c r="V24" s="241"/>
    </row>
    <row r="25" spans="1:22" x14ac:dyDescent="0.2">
      <c r="A25" s="366"/>
      <c r="B25" s="367"/>
      <c r="C25" s="367"/>
      <c r="D25" s="367"/>
      <c r="E25" s="367"/>
      <c r="F25" s="367"/>
      <c r="G25" s="367"/>
      <c r="H25" s="367"/>
      <c r="I25" s="367"/>
      <c r="J25" s="367"/>
      <c r="K25" s="367"/>
      <c r="L25" s="367"/>
      <c r="M25" s="367"/>
      <c r="N25" s="371"/>
      <c r="P25" s="90"/>
      <c r="R25" s="242"/>
      <c r="S25" s="242"/>
      <c r="T25" s="242"/>
      <c r="U25" s="242"/>
      <c r="V25" s="242"/>
    </row>
    <row r="26" spans="1:22" x14ac:dyDescent="0.2">
      <c r="A26" s="363" t="s">
        <v>133</v>
      </c>
      <c r="B26" s="285"/>
      <c r="C26" s="360" t="s">
        <v>136</v>
      </c>
      <c r="D26" s="360"/>
      <c r="E26" s="285"/>
      <c r="F26" s="360" t="s">
        <v>139</v>
      </c>
      <c r="G26" s="285"/>
      <c r="H26" s="360" t="s">
        <v>140</v>
      </c>
      <c r="I26" s="285"/>
      <c r="J26" s="360" t="s">
        <v>143</v>
      </c>
      <c r="K26" s="285"/>
      <c r="L26" s="285"/>
      <c r="M26" s="360" t="s">
        <v>35</v>
      </c>
      <c r="N26" s="361"/>
      <c r="P26" s="90"/>
    </row>
    <row r="27" spans="1:22" x14ac:dyDescent="0.2">
      <c r="A27" s="359" t="s">
        <v>134</v>
      </c>
      <c r="B27" s="291"/>
      <c r="C27" s="356" t="s">
        <v>137</v>
      </c>
      <c r="D27" s="356"/>
      <c r="E27" s="291"/>
      <c r="F27" s="356" t="s">
        <v>331</v>
      </c>
      <c r="G27" s="285"/>
      <c r="H27" s="356" t="s">
        <v>141</v>
      </c>
      <c r="I27" s="291"/>
      <c r="J27" s="356" t="s">
        <v>142</v>
      </c>
      <c r="K27" s="285"/>
      <c r="L27" s="285"/>
      <c r="M27" s="362" t="s">
        <v>131</v>
      </c>
      <c r="N27" s="361"/>
      <c r="P27" s="90"/>
    </row>
    <row r="28" spans="1:22" ht="13.5" thickBot="1" x14ac:dyDescent="0.25">
      <c r="A28" s="340">
        <f>((IF($J$11&gt;2000,(VLOOKUP($J$12,Segment_Undivided_1!$R$17:$V$23,5,FALSE)),IF($J$11&lt;400,(VLOOKUP($J$12,Segment_Undivided_1!$R$17:$V$23,3,FALSE)),(VLOOKUP($J$12,Segment_Undivided_1!$R$17:$V$23,4)))))-1)*(IF('Reference Tables (Segment)'!D7="No",'Reference Tables (Segment)'!E15,'Reference Tables (Segment)'!I15))+1</f>
        <v>1</v>
      </c>
      <c r="B28" s="357"/>
      <c r="C28" s="338">
        <f>(+$V$4*$V$6-1)*(IF('Reference Tables (Segment)'!D7="NO",'Reference Tables (Segment)'!E15,'Reference Tables (Segment)'!I15))+1</f>
        <v>1</v>
      </c>
      <c r="D28" s="358"/>
      <c r="E28" s="357"/>
      <c r="F28" s="338">
        <f>HLOOKUP(J16,'Reference Tables (Segment)'!O22:T23,2,FALSE)</f>
        <v>1</v>
      </c>
      <c r="G28" s="339"/>
      <c r="H28" s="338">
        <f>IF($J$17="Present",(1-(IF('Reference Tables (Segment)'!$D$41="No",((1-(0.72*'Reference Tables (Segment)'!$E$45)-(0.83*'Reference Tables (Segment)'!$F$45))*'Reference Tables (Segment)'!$G$45),((1-(0.72*'Reference Tables (Segment)'!$I$45)-(0.83*'Reference Tables (Segment)'!$J$45))*'Reference Tables (Segment)'!$K$45)))),1)</f>
        <v>1</v>
      </c>
      <c r="I28" s="339"/>
      <c r="J28" s="338">
        <f>IF($J$18="Present",0.95,1)</f>
        <v>1</v>
      </c>
      <c r="K28" s="340"/>
      <c r="L28" s="339"/>
      <c r="M28" s="338">
        <f>$A$28*$C$28*$F$28*$H$28*$J$28</f>
        <v>1</v>
      </c>
      <c r="N28" s="341"/>
      <c r="P28" s="90"/>
    </row>
    <row r="29" spans="1:22" ht="13.5" thickBot="1" x14ac:dyDescent="0.25">
      <c r="P29" s="90"/>
    </row>
    <row r="30" spans="1:22" x14ac:dyDescent="0.2">
      <c r="F30" s="185"/>
      <c r="G30" s="185"/>
      <c r="P30" s="90"/>
      <c r="R30" s="243" t="s">
        <v>328</v>
      </c>
      <c r="S30" s="243"/>
      <c r="T30" s="243"/>
      <c r="U30" s="243"/>
      <c r="V30" s="243"/>
    </row>
    <row r="31" spans="1:22" ht="13.5" thickBot="1" x14ac:dyDescent="0.25">
      <c r="O31" s="90"/>
      <c r="P31" s="90"/>
      <c r="R31" s="244"/>
      <c r="S31" s="244"/>
      <c r="T31" s="244"/>
      <c r="U31" s="244"/>
      <c r="V31" s="244"/>
    </row>
    <row r="32" spans="1:22" ht="14.25" thickTop="1" thickBot="1" x14ac:dyDescent="0.25">
      <c r="A32" s="271" t="s">
        <v>156</v>
      </c>
      <c r="B32" s="328"/>
      <c r="C32" s="328"/>
      <c r="D32" s="328"/>
      <c r="E32" s="328"/>
      <c r="F32" s="328"/>
      <c r="G32" s="328"/>
      <c r="H32" s="328"/>
      <c r="I32" s="328"/>
      <c r="J32" s="347"/>
      <c r="K32" s="347"/>
      <c r="L32" s="347"/>
      <c r="M32" s="347"/>
      <c r="N32" s="347"/>
      <c r="O32" s="90"/>
      <c r="P32" s="90"/>
      <c r="R32" s="245" t="s">
        <v>54</v>
      </c>
      <c r="S32" s="246"/>
      <c r="T32" s="249" t="s">
        <v>6</v>
      </c>
      <c r="U32" s="249"/>
      <c r="V32" s="250"/>
    </row>
    <row r="33" spans="1:43" x14ac:dyDescent="0.2">
      <c r="A33" s="332" t="s">
        <v>19</v>
      </c>
      <c r="B33" s="348"/>
      <c r="C33" s="349" t="s">
        <v>20</v>
      </c>
      <c r="D33" s="349"/>
      <c r="E33" s="348"/>
      <c r="F33" s="342" t="s">
        <v>21</v>
      </c>
      <c r="G33" s="350"/>
      <c r="H33" s="351" t="s">
        <v>22</v>
      </c>
      <c r="I33" s="348"/>
      <c r="J33" s="351" t="s">
        <v>23</v>
      </c>
      <c r="K33" s="348"/>
      <c r="L33" s="192" t="s">
        <v>24</v>
      </c>
      <c r="M33" s="342" t="s">
        <v>25</v>
      </c>
      <c r="N33" s="343"/>
      <c r="O33" s="90"/>
      <c r="P33" s="90"/>
      <c r="R33" s="247"/>
      <c r="S33" s="248"/>
      <c r="T33" s="186" t="s">
        <v>59</v>
      </c>
      <c r="U33" s="186" t="s">
        <v>60</v>
      </c>
      <c r="V33" s="187" t="s">
        <v>61</v>
      </c>
    </row>
    <row r="34" spans="1:43" x14ac:dyDescent="0.2">
      <c r="A34" s="304" t="s">
        <v>36</v>
      </c>
      <c r="B34" s="263"/>
      <c r="C34" s="344" t="s">
        <v>145</v>
      </c>
      <c r="D34" s="287"/>
      <c r="E34" s="287"/>
      <c r="F34" s="345" t="s">
        <v>322</v>
      </c>
      <c r="G34" s="291"/>
      <c r="H34" s="300" t="s">
        <v>37</v>
      </c>
      <c r="I34" s="321"/>
      <c r="J34" s="300" t="s">
        <v>38</v>
      </c>
      <c r="K34" s="346"/>
      <c r="L34" s="300" t="s">
        <v>10</v>
      </c>
      <c r="M34" s="345" t="s">
        <v>310</v>
      </c>
      <c r="N34" s="352"/>
      <c r="O34" s="90"/>
      <c r="P34" s="90"/>
      <c r="R34" s="238">
        <v>0</v>
      </c>
      <c r="S34" s="239"/>
      <c r="T34" s="188">
        <v>1.1000000000000001</v>
      </c>
      <c r="U34" s="188">
        <f>+($J$11-400)*0.00025+1.1</f>
        <v>1.25</v>
      </c>
      <c r="V34" s="189">
        <v>1.5</v>
      </c>
    </row>
    <row r="35" spans="1:43" x14ac:dyDescent="0.2">
      <c r="A35" s="283"/>
      <c r="B35" s="263"/>
      <c r="C35" s="354" t="s">
        <v>340</v>
      </c>
      <c r="D35" s="252"/>
      <c r="E35" s="252"/>
      <c r="F35" s="285"/>
      <c r="G35" s="285"/>
      <c r="H35" s="321"/>
      <c r="I35" s="321"/>
      <c r="J35" s="355" t="s">
        <v>159</v>
      </c>
      <c r="K35" s="346"/>
      <c r="L35" s="252"/>
      <c r="M35" s="353"/>
      <c r="N35" s="352"/>
      <c r="O35" s="90"/>
      <c r="P35" s="90"/>
      <c r="R35" s="239">
        <v>1</v>
      </c>
      <c r="S35" s="252"/>
      <c r="T35" s="188">
        <f>+(T34+T36)/2</f>
        <v>1.085</v>
      </c>
      <c r="U35" s="188">
        <f>+(U34+U36)/2</f>
        <v>1.2029000000000001</v>
      </c>
      <c r="V35" s="189">
        <f>+(V34+V36)/2</f>
        <v>1.4</v>
      </c>
      <c r="AJ35" s="90"/>
      <c r="AK35" s="90"/>
      <c r="AL35" s="90"/>
      <c r="AM35" s="90"/>
      <c r="AN35" s="90"/>
      <c r="AO35" s="90"/>
      <c r="AP35" s="90"/>
      <c r="AQ35" s="90"/>
    </row>
    <row r="36" spans="1:43" x14ac:dyDescent="0.2">
      <c r="A36" s="283"/>
      <c r="B36" s="263"/>
      <c r="C36" s="171" t="s">
        <v>146</v>
      </c>
      <c r="D36" s="171" t="s">
        <v>147</v>
      </c>
      <c r="E36" s="171" t="s">
        <v>148</v>
      </c>
      <c r="F36" s="356" t="s">
        <v>157</v>
      </c>
      <c r="G36" s="291"/>
      <c r="H36" s="354" t="s">
        <v>158</v>
      </c>
      <c r="I36" s="252"/>
      <c r="J36" s="346"/>
      <c r="K36" s="346"/>
      <c r="L36" s="252"/>
      <c r="M36" s="318" t="s">
        <v>152</v>
      </c>
      <c r="N36" s="319"/>
      <c r="O36" s="90"/>
      <c r="P36" s="90"/>
      <c r="Q36" s="193"/>
      <c r="R36" s="424">
        <v>2</v>
      </c>
      <c r="S36" s="252"/>
      <c r="T36" s="188">
        <v>1.07</v>
      </c>
      <c r="U36" s="188">
        <f>+($J$11-400)*0.000143+1.07</f>
        <v>1.1558000000000002</v>
      </c>
      <c r="V36" s="189">
        <v>1.3</v>
      </c>
      <c r="W36" s="194"/>
      <c r="X36" s="194"/>
      <c r="Y36" s="194"/>
      <c r="Z36" s="194"/>
      <c r="AA36" s="194"/>
      <c r="AB36" s="90"/>
      <c r="AD36" s="43"/>
      <c r="AE36" s="43"/>
      <c r="AF36" s="43"/>
      <c r="AG36" s="43"/>
      <c r="AH36" s="43"/>
      <c r="AI36" s="43"/>
      <c r="AJ36" s="43"/>
      <c r="AK36" s="43"/>
      <c r="AL36" s="43"/>
      <c r="AM36" s="43"/>
      <c r="AN36" s="43"/>
      <c r="AO36" s="43"/>
      <c r="AP36" s="43"/>
      <c r="AQ36" s="90"/>
    </row>
    <row r="37" spans="1:43" x14ac:dyDescent="0.2">
      <c r="A37" s="283" t="s">
        <v>39</v>
      </c>
      <c r="B37" s="263"/>
      <c r="C37" s="195">
        <v>-9.6530000000000005</v>
      </c>
      <c r="D37" s="195">
        <v>1.1759999999999999</v>
      </c>
      <c r="E37" s="195">
        <v>1.675</v>
      </c>
      <c r="F37" s="306">
        <f>EXP($C$37+$D$37*LN($J$11)+LN($J$10))</f>
        <v>0.21664834022453872</v>
      </c>
      <c r="G37" s="307"/>
      <c r="H37" s="264">
        <f>1/(EXP($E$37+LN($J$10)))</f>
        <v>0.18730817948195702</v>
      </c>
      <c r="I37" s="265"/>
      <c r="J37" s="308">
        <f>+$M$28</f>
        <v>1</v>
      </c>
      <c r="K37" s="301"/>
      <c r="L37" s="182">
        <f>+$J$19</f>
        <v>1</v>
      </c>
      <c r="M37" s="306">
        <f>+F37*J37*L37</f>
        <v>0.21664834022453872</v>
      </c>
      <c r="N37" s="309"/>
      <c r="O37" s="90"/>
      <c r="P37" s="90"/>
      <c r="Q37" s="90"/>
      <c r="R37" s="239">
        <v>3</v>
      </c>
      <c r="S37" s="252"/>
      <c r="T37" s="188">
        <f>+(T36+T38)/2</f>
        <v>1.0449999999999999</v>
      </c>
      <c r="U37" s="188">
        <f>+(U36+U38)/2</f>
        <v>1.1122750000000001</v>
      </c>
      <c r="V37" s="189">
        <f>+(V36+V38)/2</f>
        <v>1.2250000000000001</v>
      </c>
      <c r="W37" s="90"/>
      <c r="X37" s="90"/>
      <c r="Y37" s="90"/>
      <c r="Z37" s="90"/>
      <c r="AA37" s="90"/>
      <c r="AB37" s="90"/>
      <c r="AD37" s="43"/>
      <c r="AE37" s="43"/>
      <c r="AF37" s="44"/>
      <c r="AG37" s="44"/>
      <c r="AH37" s="44"/>
      <c r="AI37" s="44"/>
      <c r="AJ37" s="44"/>
      <c r="AK37" s="43"/>
      <c r="AL37" s="44"/>
      <c r="AM37" s="44"/>
      <c r="AN37" s="44"/>
      <c r="AO37" s="44"/>
      <c r="AP37" s="44"/>
      <c r="AQ37" s="90"/>
    </row>
    <row r="38" spans="1:43" x14ac:dyDescent="0.2">
      <c r="A38" s="283" t="s">
        <v>40</v>
      </c>
      <c r="B38" s="263"/>
      <c r="C38" s="195">
        <v>-9.41</v>
      </c>
      <c r="D38" s="195">
        <v>1.0940000000000001</v>
      </c>
      <c r="E38" s="195">
        <v>1.796</v>
      </c>
      <c r="F38" s="306">
        <f>EXP($C$38+$D$38*LN($J$11)+LN($J$10))</f>
        <v>0.15677937373225564</v>
      </c>
      <c r="G38" s="307"/>
      <c r="H38" s="264">
        <f>1/(EXP($E$38+LN($J$10)))</f>
        <v>0.16596140793053141</v>
      </c>
      <c r="I38" s="265"/>
      <c r="J38" s="308">
        <f>+$M$28</f>
        <v>1</v>
      </c>
      <c r="K38" s="301"/>
      <c r="L38" s="182">
        <f>+$J$19</f>
        <v>1</v>
      </c>
      <c r="M38" s="306">
        <f>+F38*J38*L38</f>
        <v>0.15677937373225564</v>
      </c>
      <c r="N38" s="309"/>
      <c r="O38" s="90"/>
      <c r="P38" s="90"/>
      <c r="Q38" s="90"/>
      <c r="R38" s="424">
        <v>4</v>
      </c>
      <c r="S38" s="252"/>
      <c r="T38" s="188">
        <v>1.02</v>
      </c>
      <c r="U38" s="188">
        <f>+($J$11-400)*0.00008125+1.02</f>
        <v>1.0687500000000001</v>
      </c>
      <c r="V38" s="189">
        <v>1.1499999999999999</v>
      </c>
      <c r="W38" s="90"/>
      <c r="X38" s="90"/>
      <c r="Y38" s="90"/>
      <c r="Z38" s="90"/>
      <c r="AA38" s="90"/>
      <c r="AB38" s="90"/>
      <c r="AD38" s="90"/>
      <c r="AE38" s="43"/>
      <c r="AF38" s="43"/>
      <c r="AG38" s="43"/>
      <c r="AH38" s="43"/>
      <c r="AI38" s="43"/>
      <c r="AJ38" s="90"/>
      <c r="AK38" s="43"/>
      <c r="AL38" s="43"/>
      <c r="AM38" s="43"/>
      <c r="AN38" s="43"/>
      <c r="AO38" s="43"/>
      <c r="AP38" s="90"/>
      <c r="AQ38" s="90"/>
    </row>
    <row r="39" spans="1:43" ht="14.25" x14ac:dyDescent="0.2">
      <c r="A39" s="327" t="s">
        <v>153</v>
      </c>
      <c r="B39" s="263"/>
      <c r="C39" s="195">
        <v>-8.577</v>
      </c>
      <c r="D39" s="195">
        <v>0.93799999999999994</v>
      </c>
      <c r="E39" s="195">
        <v>2.0030000000000001</v>
      </c>
      <c r="F39" s="306">
        <f>EXP($C$39+$D$39*LN($J$11)+LN($J$10))</f>
        <v>0.1227598159725671</v>
      </c>
      <c r="G39" s="307"/>
      <c r="H39" s="264">
        <f>1/(EXP($E$39+LN($J$10)))</f>
        <v>0.13492988578712511</v>
      </c>
      <c r="I39" s="265"/>
      <c r="J39" s="308">
        <f>+$M$28</f>
        <v>1</v>
      </c>
      <c r="K39" s="301"/>
      <c r="L39" s="182">
        <f>+$J$19</f>
        <v>1</v>
      </c>
      <c r="M39" s="306">
        <f>+F39*J39*L39</f>
        <v>0.1227598159725671</v>
      </c>
      <c r="N39" s="309"/>
      <c r="O39" s="90"/>
      <c r="R39" s="239">
        <v>5</v>
      </c>
      <c r="S39" s="252"/>
      <c r="T39" s="188">
        <f>+(T38+T40)/2</f>
        <v>1.01</v>
      </c>
      <c r="U39" s="188">
        <f>+(U38+U40)/2</f>
        <v>1.034375</v>
      </c>
      <c r="V39" s="189">
        <f>+(V38+V40)/2</f>
        <v>1.075</v>
      </c>
      <c r="AD39" s="90"/>
      <c r="AE39" s="43"/>
      <c r="AF39" s="43"/>
      <c r="AG39" s="43"/>
      <c r="AH39" s="43"/>
      <c r="AI39" s="43"/>
      <c r="AJ39" s="90"/>
      <c r="AK39" s="43"/>
      <c r="AL39" s="43"/>
      <c r="AM39" s="43"/>
      <c r="AN39" s="43"/>
      <c r="AO39" s="43"/>
      <c r="AP39" s="90"/>
      <c r="AQ39" s="90"/>
    </row>
    <row r="40" spans="1:43" ht="15.75" x14ac:dyDescent="0.2">
      <c r="A40" s="320" t="s">
        <v>41</v>
      </c>
      <c r="B40" s="321"/>
      <c r="C40" s="316" t="s">
        <v>17</v>
      </c>
      <c r="D40" s="316" t="s">
        <v>17</v>
      </c>
      <c r="E40" s="316" t="s">
        <v>17</v>
      </c>
      <c r="F40" s="323" t="s">
        <v>17</v>
      </c>
      <c r="G40" s="324"/>
      <c r="H40" s="312" t="s">
        <v>17</v>
      </c>
      <c r="I40" s="313"/>
      <c r="J40" s="312" t="s">
        <v>17</v>
      </c>
      <c r="K40" s="313"/>
      <c r="L40" s="316" t="s">
        <v>17</v>
      </c>
      <c r="M40" s="318" t="s">
        <v>154</v>
      </c>
      <c r="N40" s="319"/>
      <c r="O40" s="90"/>
      <c r="R40" s="424">
        <v>6</v>
      </c>
      <c r="S40" s="252"/>
      <c r="T40" s="188">
        <v>1</v>
      </c>
      <c r="U40" s="188">
        <v>1</v>
      </c>
      <c r="V40" s="189">
        <v>1</v>
      </c>
      <c r="AD40" s="90"/>
      <c r="AE40" s="43"/>
      <c r="AF40" s="43"/>
      <c r="AG40" s="43"/>
      <c r="AH40" s="43"/>
      <c r="AI40" s="183"/>
      <c r="AJ40" s="90"/>
      <c r="AK40" s="43"/>
      <c r="AL40" s="43"/>
      <c r="AM40" s="43"/>
      <c r="AN40" s="43"/>
      <c r="AO40" s="183"/>
      <c r="AP40" s="90"/>
      <c r="AQ40" s="90"/>
    </row>
    <row r="41" spans="1:43" ht="13.5" thickBot="1" x14ac:dyDescent="0.25">
      <c r="A41" s="322"/>
      <c r="B41" s="268"/>
      <c r="C41" s="317"/>
      <c r="D41" s="317"/>
      <c r="E41" s="317"/>
      <c r="F41" s="325"/>
      <c r="G41" s="326"/>
      <c r="H41" s="314"/>
      <c r="I41" s="315"/>
      <c r="J41" s="314"/>
      <c r="K41" s="315"/>
      <c r="L41" s="317"/>
      <c r="M41" s="310">
        <f>+M37-M38</f>
        <v>5.9868966492283071E-2</v>
      </c>
      <c r="N41" s="311"/>
      <c r="O41" s="90"/>
      <c r="P41" s="185"/>
      <c r="R41" s="239">
        <v>7</v>
      </c>
      <c r="S41" s="252"/>
      <c r="T41" s="188">
        <f>+(T40+T42)/2</f>
        <v>0.99</v>
      </c>
      <c r="U41" s="188">
        <f>+(U40+U42)/2</f>
        <v>0.96937499999999999</v>
      </c>
      <c r="V41" s="189">
        <f>+(V40+V42)/2</f>
        <v>0.93500000000000005</v>
      </c>
      <c r="AD41" s="184"/>
      <c r="AE41" s="44"/>
      <c r="AF41" s="44"/>
      <c r="AG41" s="44"/>
      <c r="AH41" s="184"/>
      <c r="AI41" s="196"/>
      <c r="AJ41" s="90"/>
      <c r="AK41" s="44"/>
      <c r="AL41" s="44"/>
      <c r="AM41" s="44"/>
      <c r="AN41" s="184"/>
      <c r="AO41" s="196"/>
      <c r="AP41" s="90"/>
      <c r="AQ41" s="90"/>
    </row>
    <row r="42" spans="1:43" ht="13.5" thickBot="1" x14ac:dyDescent="0.25">
      <c r="A42" s="269" t="s">
        <v>155</v>
      </c>
      <c r="B42" s="270"/>
      <c r="C42" s="270"/>
      <c r="D42" s="270"/>
      <c r="E42" s="270"/>
      <c r="F42" s="270"/>
      <c r="G42" s="270"/>
      <c r="H42" s="270"/>
      <c r="I42" s="270"/>
      <c r="J42" s="270"/>
      <c r="K42" s="270"/>
      <c r="L42" s="270"/>
      <c r="M42" s="270"/>
      <c r="N42" s="270"/>
      <c r="O42" s="90"/>
      <c r="R42" s="253">
        <v>8</v>
      </c>
      <c r="S42" s="254"/>
      <c r="T42" s="190">
        <v>0.98</v>
      </c>
      <c r="U42" s="197">
        <f>+(($J$11-400)*-0.00006875)+0.98</f>
        <v>0.93874999999999997</v>
      </c>
      <c r="V42" s="191">
        <v>0.87</v>
      </c>
      <c r="AD42" s="90"/>
      <c r="AE42" s="90"/>
      <c r="AF42" s="90"/>
      <c r="AG42" s="90"/>
      <c r="AH42" s="90"/>
      <c r="AI42" s="90"/>
      <c r="AJ42" s="90"/>
      <c r="AK42" s="90"/>
      <c r="AL42" s="90"/>
      <c r="AM42" s="90"/>
      <c r="AN42" s="90"/>
      <c r="AO42" s="90"/>
      <c r="AP42" s="90"/>
      <c r="AQ42" s="90"/>
    </row>
    <row r="43" spans="1:43" x14ac:dyDescent="0.2">
      <c r="O43" s="90"/>
      <c r="R43" s="423" t="s">
        <v>81</v>
      </c>
      <c r="S43" s="242"/>
      <c r="T43" s="242"/>
      <c r="U43" s="242"/>
      <c r="V43" s="242"/>
    </row>
    <row r="44" spans="1:43" x14ac:dyDescent="0.2">
      <c r="O44" s="90"/>
      <c r="R44" s="242"/>
      <c r="S44" s="242"/>
      <c r="T44" s="242"/>
      <c r="U44" s="242"/>
      <c r="V44" s="242"/>
    </row>
    <row r="45" spans="1:43" ht="13.5" thickBot="1" x14ac:dyDescent="0.25">
      <c r="A45" s="185"/>
      <c r="B45" s="185"/>
      <c r="C45" s="185"/>
      <c r="D45" s="185"/>
      <c r="E45" s="185"/>
      <c r="F45" s="185"/>
      <c r="G45" s="185"/>
      <c r="H45" s="185"/>
      <c r="I45" s="185"/>
      <c r="J45" s="185"/>
      <c r="K45" s="185"/>
      <c r="L45" s="185"/>
      <c r="M45" s="185"/>
      <c r="N45" s="198"/>
      <c r="O45" s="90"/>
      <c r="R45" s="242"/>
      <c r="S45" s="242"/>
      <c r="T45" s="242"/>
      <c r="U45" s="242"/>
      <c r="V45" s="242"/>
    </row>
    <row r="46" spans="1:43" ht="14.25" thickTop="1" thickBot="1" x14ac:dyDescent="0.25">
      <c r="A46" s="271" t="s">
        <v>174</v>
      </c>
      <c r="B46" s="328"/>
      <c r="C46" s="328"/>
      <c r="D46" s="328"/>
      <c r="E46" s="328"/>
      <c r="F46" s="328"/>
      <c r="G46" s="328"/>
      <c r="H46" s="328"/>
      <c r="I46" s="328"/>
      <c r="J46" s="328"/>
      <c r="K46" s="328"/>
      <c r="L46" s="328"/>
      <c r="M46" s="328"/>
      <c r="N46" s="328"/>
      <c r="O46" s="90"/>
      <c r="R46" s="407"/>
      <c r="S46" s="407"/>
      <c r="T46" s="407"/>
      <c r="U46" s="407"/>
      <c r="V46" s="407"/>
    </row>
    <row r="47" spans="1:43" x14ac:dyDescent="0.2">
      <c r="A47" s="329" t="s">
        <v>19</v>
      </c>
      <c r="B47" s="330"/>
      <c r="C47" s="199" t="s">
        <v>20</v>
      </c>
      <c r="D47" s="331" t="s">
        <v>21</v>
      </c>
      <c r="E47" s="332"/>
      <c r="F47" s="200" t="s">
        <v>22</v>
      </c>
      <c r="G47" s="333" t="s">
        <v>23</v>
      </c>
      <c r="H47" s="334"/>
      <c r="I47" s="200" t="s">
        <v>24</v>
      </c>
      <c r="J47" s="333" t="s">
        <v>25</v>
      </c>
      <c r="K47" s="335"/>
      <c r="L47" s="200" t="s">
        <v>26</v>
      </c>
      <c r="M47" s="336" t="s">
        <v>27</v>
      </c>
      <c r="N47" s="337"/>
      <c r="O47" s="90"/>
    </row>
    <row r="48" spans="1:43" ht="13.15" customHeight="1" x14ac:dyDescent="0.2">
      <c r="A48" s="304" t="s">
        <v>42</v>
      </c>
      <c r="B48" s="300"/>
      <c r="C48" s="300" t="s">
        <v>44</v>
      </c>
      <c r="D48" s="300" t="s">
        <v>315</v>
      </c>
      <c r="E48" s="263"/>
      <c r="F48" s="300" t="s">
        <v>43</v>
      </c>
      <c r="G48" s="300" t="s">
        <v>316</v>
      </c>
      <c r="H48" s="300"/>
      <c r="I48" s="300" t="s">
        <v>161</v>
      </c>
      <c r="J48" s="300" t="s">
        <v>317</v>
      </c>
      <c r="K48" s="300"/>
      <c r="L48" s="300" t="s">
        <v>162</v>
      </c>
      <c r="M48" s="300" t="s">
        <v>318</v>
      </c>
      <c r="N48" s="305"/>
      <c r="O48" s="90"/>
    </row>
    <row r="49" spans="1:15" ht="13.15" customHeight="1" x14ac:dyDescent="0.2">
      <c r="A49" s="304"/>
      <c r="B49" s="300"/>
      <c r="C49" s="252"/>
      <c r="D49" s="263"/>
      <c r="E49" s="263"/>
      <c r="F49" s="252"/>
      <c r="G49" s="252"/>
      <c r="H49" s="252"/>
      <c r="I49" s="252"/>
      <c r="J49" s="252"/>
      <c r="K49" s="252"/>
      <c r="L49" s="252"/>
      <c r="M49" s="252"/>
      <c r="N49" s="261"/>
      <c r="O49" s="90"/>
    </row>
    <row r="50" spans="1:15" ht="13.15" customHeight="1" x14ac:dyDescent="0.2">
      <c r="A50" s="239"/>
      <c r="B50" s="252"/>
      <c r="C50" s="252"/>
      <c r="D50" s="263"/>
      <c r="E50" s="263"/>
      <c r="F50" s="252"/>
      <c r="G50" s="252"/>
      <c r="H50" s="252"/>
      <c r="I50" s="252"/>
      <c r="J50" s="252"/>
      <c r="K50" s="252"/>
      <c r="L50" s="252"/>
      <c r="M50" s="252"/>
      <c r="N50" s="261"/>
      <c r="O50" s="90"/>
    </row>
    <row r="51" spans="1:15" ht="13.15" customHeight="1" x14ac:dyDescent="0.2">
      <c r="A51" s="239"/>
      <c r="B51" s="252"/>
      <c r="C51" s="296" t="s">
        <v>343</v>
      </c>
      <c r="D51" s="297" t="s">
        <v>175</v>
      </c>
      <c r="E51" s="298"/>
      <c r="F51" s="296" t="s">
        <v>344</v>
      </c>
      <c r="G51" s="297" t="s">
        <v>176</v>
      </c>
      <c r="H51" s="298"/>
      <c r="I51" s="296" t="s">
        <v>343</v>
      </c>
      <c r="J51" s="297" t="s">
        <v>177</v>
      </c>
      <c r="K51" s="298"/>
      <c r="L51" s="296" t="s">
        <v>343</v>
      </c>
      <c r="M51" s="297" t="s">
        <v>178</v>
      </c>
      <c r="N51" s="299"/>
      <c r="O51" s="90"/>
    </row>
    <row r="52" spans="1:15" ht="13.15" customHeight="1" x14ac:dyDescent="0.2">
      <c r="A52" s="239"/>
      <c r="B52" s="252"/>
      <c r="C52" s="252"/>
      <c r="D52" s="252"/>
      <c r="E52" s="252"/>
      <c r="F52" s="252"/>
      <c r="G52" s="252"/>
      <c r="H52" s="252"/>
      <c r="I52" s="252"/>
      <c r="J52" s="252"/>
      <c r="K52" s="252"/>
      <c r="L52" s="252"/>
      <c r="M52" s="252"/>
      <c r="N52" s="261"/>
      <c r="O52" s="90"/>
    </row>
    <row r="53" spans="1:15" x14ac:dyDescent="0.2">
      <c r="A53" s="283" t="s">
        <v>39</v>
      </c>
      <c r="B53" s="263"/>
      <c r="C53" s="195">
        <f>IF('Reference Tables (Segment)'!$D$7="No",SUM('Reference Tables (Segment)'!$E$9:$E$14),SUM('Reference Tables (Segment)'!$I$9:$I$14))</f>
        <v>1</v>
      </c>
      <c r="D53" s="264">
        <f>+M37</f>
        <v>0.21664834022453872</v>
      </c>
      <c r="E53" s="265"/>
      <c r="F53" s="195">
        <f>IF('Reference Tables (Segment)'!$D$7="No",SUM('Reference Tables (Segment)'!$F$9:$F$14),SUM('Reference Tables (Segment)'!$J$9:$J$14))</f>
        <v>1</v>
      </c>
      <c r="G53" s="264">
        <f>+M38</f>
        <v>0.15677937373225564</v>
      </c>
      <c r="H53" s="265"/>
      <c r="I53" s="195">
        <f>IF('Reference Tables (Segment)'!$D$7="No",SUM('Reference Tables (Segment)'!$G$9:$G$14),SUM('Reference Tables (Segment)'!$K$9:$K$14))</f>
        <v>1</v>
      </c>
      <c r="J53" s="264">
        <f>+M39</f>
        <v>0.1227598159725671</v>
      </c>
      <c r="K53" s="265"/>
      <c r="L53" s="195">
        <f>IF('Reference Tables (Segment)'!D$7="No",SUM('Reference Tables (Segment)'!$H$9:$H$14),SUM('Reference Tables (Segment)'!$L$9:$L$14))</f>
        <v>1</v>
      </c>
      <c r="M53" s="264">
        <f>+M41</f>
        <v>5.9868966492283071E-2</v>
      </c>
      <c r="N53" s="266"/>
      <c r="O53" s="90"/>
    </row>
    <row r="54" spans="1:15" ht="15.75" x14ac:dyDescent="0.2">
      <c r="A54" s="301"/>
      <c r="B54" s="302"/>
      <c r="C54" s="182"/>
      <c r="D54" s="260" t="s">
        <v>168</v>
      </c>
      <c r="E54" s="302"/>
      <c r="F54" s="182"/>
      <c r="G54" s="303" t="s">
        <v>169</v>
      </c>
      <c r="H54" s="263"/>
      <c r="I54" s="182"/>
      <c r="J54" s="260" t="s">
        <v>170</v>
      </c>
      <c r="K54" s="252"/>
      <c r="L54" s="182"/>
      <c r="M54" s="260" t="s">
        <v>171</v>
      </c>
      <c r="N54" s="261"/>
      <c r="O54" s="90"/>
    </row>
    <row r="55" spans="1:15" x14ac:dyDescent="0.2">
      <c r="A55" s="262" t="s">
        <v>46</v>
      </c>
      <c r="B55" s="263"/>
      <c r="C55" s="195">
        <f>IF('Reference Tables (Segment)'!$D$7="No",'Reference Tables (Segment)'!E9,'Reference Tables (Segment)'!I9)</f>
        <v>8.9999999999999993E-3</v>
      </c>
      <c r="D55" s="264">
        <f t="shared" ref="D55:D60" si="0">+C55*$D$53</f>
        <v>1.9498350620208483E-3</v>
      </c>
      <c r="E55" s="265"/>
      <c r="F55" s="195">
        <f>IF('Reference Tables (Segment)'!$D$7="No",'Reference Tables (Segment)'!F9,'Reference Tables (Segment)'!J9)</f>
        <v>2.9000000000000001E-2</v>
      </c>
      <c r="G55" s="264">
        <f t="shared" ref="G55:G60" si="1">+F55*$G$53</f>
        <v>4.5466018382354142E-3</v>
      </c>
      <c r="H55" s="265"/>
      <c r="I55" s="195">
        <f>IF('Reference Tables (Segment)'!$D$7="No",'Reference Tables (Segment)'!G9,'Reference Tables (Segment)'!K9)</f>
        <v>4.2999999999999997E-2</v>
      </c>
      <c r="J55" s="264">
        <f t="shared" ref="J55:J60" si="2">+$J$53*I55</f>
        <v>5.278672086820385E-3</v>
      </c>
      <c r="K55" s="265"/>
      <c r="L55" s="195">
        <f>IF('Reference Tables (Segment)'!$D$7="No",'Reference Tables (Segment)'!H9,'Reference Tables (Segment)'!L9)</f>
        <v>1E-3</v>
      </c>
      <c r="M55" s="264">
        <f t="shared" ref="M55:M60" si="3">+$M$53*L55</f>
        <v>5.9868966492283073E-5</v>
      </c>
      <c r="N55" s="266"/>
      <c r="O55" s="90"/>
    </row>
    <row r="56" spans="1:15" x14ac:dyDescent="0.2">
      <c r="A56" s="262" t="s">
        <v>48</v>
      </c>
      <c r="B56" s="263"/>
      <c r="C56" s="195">
        <f>IF('Reference Tables (Segment)'!$D$7="No",'Reference Tables (Segment)'!E10,'Reference Tables (Segment)'!I10)</f>
        <v>9.8000000000000004E-2</v>
      </c>
      <c r="D56" s="264">
        <f t="shared" si="0"/>
        <v>2.1231537342004794E-2</v>
      </c>
      <c r="E56" s="265"/>
      <c r="F56" s="195">
        <f>IF('Reference Tables (Segment)'!$D$7="No",'Reference Tables (Segment)'!F10,'Reference Tables (Segment)'!J10)</f>
        <v>4.8000000000000001E-2</v>
      </c>
      <c r="G56" s="264">
        <f t="shared" si="1"/>
        <v>7.5254099391482707E-3</v>
      </c>
      <c r="H56" s="265"/>
      <c r="I56" s="195">
        <f>IF('Reference Tables (Segment)'!$D$7="No",'Reference Tables (Segment)'!G10,'Reference Tables (Segment)'!K10)</f>
        <v>4.3999999999999997E-2</v>
      </c>
      <c r="J56" s="264">
        <f t="shared" si="2"/>
        <v>5.4014319027929523E-3</v>
      </c>
      <c r="K56" s="265"/>
      <c r="L56" s="195">
        <f>IF('Reference Tables (Segment)'!$D$7="No",'Reference Tables (Segment)'!H10,'Reference Tables (Segment)'!L10)</f>
        <v>0.12</v>
      </c>
      <c r="M56" s="264">
        <f t="shared" si="3"/>
        <v>7.1842759790739681E-3</v>
      </c>
      <c r="N56" s="266"/>
      <c r="O56" s="201"/>
    </row>
    <row r="57" spans="1:15" x14ac:dyDescent="0.2">
      <c r="A57" s="259" t="s">
        <v>47</v>
      </c>
      <c r="B57" s="263"/>
      <c r="C57" s="195">
        <f>IF('Reference Tables (Segment)'!$D$7="No",'Reference Tables (Segment)'!E11,'Reference Tables (Segment)'!I11)</f>
        <v>0.246</v>
      </c>
      <c r="D57" s="264">
        <f t="shared" si="0"/>
        <v>5.3295491695236522E-2</v>
      </c>
      <c r="E57" s="265"/>
      <c r="F57" s="195">
        <f>IF('Reference Tables (Segment)'!$D$7="No",'Reference Tables (Segment)'!F11,'Reference Tables (Segment)'!J11)</f>
        <v>0.30499999999999999</v>
      </c>
      <c r="G57" s="264">
        <f t="shared" si="1"/>
        <v>4.7817708988337967E-2</v>
      </c>
      <c r="H57" s="265"/>
      <c r="I57" s="195">
        <f>IF('Reference Tables (Segment)'!$D$7="No",'Reference Tables (Segment)'!G11,'Reference Tables (Segment)'!K11)</f>
        <v>0.217</v>
      </c>
      <c r="J57" s="264">
        <f t="shared" si="2"/>
        <v>2.663888006604706E-2</v>
      </c>
      <c r="K57" s="265"/>
      <c r="L57" s="195">
        <f>IF('Reference Tables (Segment)'!$D$7="No",'Reference Tables (Segment)'!H11,'Reference Tables (Segment)'!L11)</f>
        <v>0.22</v>
      </c>
      <c r="M57" s="264">
        <f t="shared" si="3"/>
        <v>1.3171172628302275E-2</v>
      </c>
      <c r="N57" s="266"/>
      <c r="O57" s="201"/>
    </row>
    <row r="58" spans="1:15" x14ac:dyDescent="0.2">
      <c r="A58" s="262" t="s">
        <v>45</v>
      </c>
      <c r="B58" s="263"/>
      <c r="C58" s="195">
        <f>IF('Reference Tables (Segment)'!$D$7="No",'Reference Tables (Segment)'!E12,'Reference Tables (Segment)'!I12)</f>
        <v>0.35599999999999998</v>
      </c>
      <c r="D58" s="264">
        <f t="shared" si="0"/>
        <v>7.7126809119935774E-2</v>
      </c>
      <c r="E58" s="265"/>
      <c r="F58" s="195">
        <f>IF('Reference Tables (Segment)'!$D$7="No",'Reference Tables (Segment)'!F12,'Reference Tables (Segment)'!J12)</f>
        <v>0.35199999999999998</v>
      </c>
      <c r="G58" s="264">
        <f t="shared" si="1"/>
        <v>5.5186339553753981E-2</v>
      </c>
      <c r="H58" s="265"/>
      <c r="I58" s="195">
        <f>IF('Reference Tables (Segment)'!$D$7="No",'Reference Tables (Segment)'!G12,'Reference Tables (Segment)'!K12)</f>
        <v>0.34799999999999998</v>
      </c>
      <c r="J58" s="264">
        <f t="shared" si="2"/>
        <v>4.2720415958453349E-2</v>
      </c>
      <c r="K58" s="265"/>
      <c r="L58" s="195">
        <f>IF('Reference Tables (Segment)'!$D$7="No",'Reference Tables (Segment)'!H12,'Reference Tables (Segment)'!L12)</f>
        <v>0.35799999999999998</v>
      </c>
      <c r="M58" s="264">
        <f t="shared" si="3"/>
        <v>2.1433090004237338E-2</v>
      </c>
      <c r="N58" s="266"/>
      <c r="O58" s="201"/>
    </row>
    <row r="59" spans="1:15" x14ac:dyDescent="0.2">
      <c r="A59" s="262" t="s">
        <v>172</v>
      </c>
      <c r="B59" s="263"/>
      <c r="C59" s="195">
        <f>IF('Reference Tables (Segment)'!$D$7="No",'Reference Tables (Segment)'!E13,'Reference Tables (Segment)'!I13)</f>
        <v>0.23799999999999999</v>
      </c>
      <c r="D59" s="264">
        <f t="shared" si="0"/>
        <v>5.1562304973440214E-2</v>
      </c>
      <c r="E59" s="265"/>
      <c r="F59" s="195">
        <f>IF('Reference Tables (Segment)'!$D$7="No",'Reference Tables (Segment)'!F13,'Reference Tables (Segment)'!J13)</f>
        <v>0.23799999999999999</v>
      </c>
      <c r="G59" s="264">
        <f t="shared" si="1"/>
        <v>3.7313490948276844E-2</v>
      </c>
      <c r="H59" s="265"/>
      <c r="I59" s="195">
        <f>IF('Reference Tables (Segment)'!$D$7="No",'Reference Tables (Segment)'!G13,'Reference Tables (Segment)'!K13)</f>
        <v>0.30399999999999999</v>
      </c>
      <c r="J59" s="264">
        <f t="shared" si="2"/>
        <v>3.7318984055660399E-2</v>
      </c>
      <c r="K59" s="265"/>
      <c r="L59" s="195">
        <f>IF('Reference Tables (Segment)'!$D$7="No",'Reference Tables (Segment)'!H13,'Reference Tables (Segment)'!L13)</f>
        <v>0.23699999999999999</v>
      </c>
      <c r="M59" s="264">
        <f t="shared" si="3"/>
        <v>1.4188945058671087E-2</v>
      </c>
      <c r="N59" s="266"/>
      <c r="O59" s="90"/>
    </row>
    <row r="60" spans="1:15" ht="13.5" thickBot="1" x14ac:dyDescent="0.25">
      <c r="A60" s="267" t="s">
        <v>173</v>
      </c>
      <c r="B60" s="268"/>
      <c r="C60" s="195">
        <f>IF('Reference Tables (Segment)'!$D$7="No",'Reference Tables (Segment)'!E14,'Reference Tables (Segment)'!I14)</f>
        <v>5.2999999999999999E-2</v>
      </c>
      <c r="D60" s="264">
        <f t="shared" si="0"/>
        <v>1.1482362031900551E-2</v>
      </c>
      <c r="E60" s="265"/>
      <c r="F60" s="195">
        <f>IF('Reference Tables (Segment)'!$D$7="No",'Reference Tables (Segment)'!F14,'Reference Tables (Segment)'!J14)</f>
        <v>2.8000000000000001E-2</v>
      </c>
      <c r="G60" s="264">
        <f t="shared" si="1"/>
        <v>4.389822464503158E-3</v>
      </c>
      <c r="H60" s="265"/>
      <c r="I60" s="195">
        <f>IF('Reference Tables (Segment)'!$D$7="No",'Reference Tables (Segment)'!G14,'Reference Tables (Segment)'!K14)</f>
        <v>4.3999999999999997E-2</v>
      </c>
      <c r="J60" s="264">
        <f t="shared" si="2"/>
        <v>5.4014319027929523E-3</v>
      </c>
      <c r="K60" s="265"/>
      <c r="L60" s="195">
        <f>IF('Reference Tables (Segment)'!$D$7="No",'Reference Tables (Segment)'!H14,'Reference Tables (Segment)'!L14)</f>
        <v>6.4000000000000001E-2</v>
      </c>
      <c r="M60" s="264">
        <f t="shared" si="3"/>
        <v>3.8316138555061167E-3</v>
      </c>
      <c r="N60" s="266"/>
      <c r="O60" s="90"/>
    </row>
    <row r="61" spans="1:15" x14ac:dyDescent="0.2">
      <c r="A61" s="269" t="s">
        <v>155</v>
      </c>
      <c r="B61" s="270"/>
      <c r="C61" s="270"/>
      <c r="D61" s="270"/>
      <c r="E61" s="270"/>
      <c r="F61" s="270"/>
      <c r="G61" s="270"/>
      <c r="H61" s="270"/>
      <c r="I61" s="270"/>
      <c r="J61" s="270"/>
      <c r="K61" s="270"/>
      <c r="L61" s="270"/>
      <c r="M61" s="270"/>
      <c r="N61" s="270"/>
      <c r="O61" s="90"/>
    </row>
    <row r="62" spans="1:15" x14ac:dyDescent="0.2">
      <c r="B62" s="90"/>
      <c r="C62" s="90"/>
      <c r="D62" s="90"/>
      <c r="E62" s="90"/>
      <c r="F62" s="90"/>
      <c r="G62" s="90"/>
      <c r="H62" s="90"/>
      <c r="I62" s="90"/>
      <c r="J62" s="90"/>
      <c r="K62" s="90"/>
      <c r="L62" s="90"/>
      <c r="M62" s="90"/>
      <c r="N62" s="90"/>
      <c r="O62" s="90"/>
    </row>
    <row r="63" spans="1:15" ht="13.5" thickBot="1" x14ac:dyDescent="0.25">
      <c r="A63" s="43"/>
      <c r="B63" s="44"/>
      <c r="C63" s="44"/>
      <c r="D63" s="44"/>
      <c r="E63" s="44"/>
      <c r="F63" s="44"/>
      <c r="G63" s="44"/>
      <c r="H63" s="44"/>
      <c r="I63" s="90"/>
      <c r="J63" s="90"/>
      <c r="K63" s="90"/>
      <c r="L63" s="90"/>
      <c r="M63" s="90"/>
      <c r="N63" s="90"/>
      <c r="O63" s="90"/>
    </row>
    <row r="64" spans="1:15" ht="14.25" thickTop="1" thickBot="1" x14ac:dyDescent="0.25">
      <c r="A64" s="271" t="s">
        <v>179</v>
      </c>
      <c r="B64" s="271"/>
      <c r="C64" s="271"/>
      <c r="D64" s="271"/>
      <c r="E64" s="271"/>
      <c r="F64" s="271"/>
      <c r="G64" s="271"/>
      <c r="H64" s="271"/>
      <c r="I64" s="271"/>
      <c r="J64" s="271"/>
      <c r="K64" s="271"/>
      <c r="L64" s="271"/>
      <c r="M64" s="271"/>
      <c r="N64" s="271"/>
      <c r="O64" s="90"/>
    </row>
    <row r="65" spans="1:15" x14ac:dyDescent="0.2">
      <c r="A65" s="272" t="s">
        <v>19</v>
      </c>
      <c r="B65" s="273"/>
      <c r="C65" s="273"/>
      <c r="D65" s="274" t="s">
        <v>20</v>
      </c>
      <c r="E65" s="275"/>
      <c r="F65" s="275"/>
      <c r="G65" s="275"/>
      <c r="H65" s="275"/>
      <c r="I65" s="279" t="s">
        <v>21</v>
      </c>
      <c r="J65" s="273"/>
      <c r="K65" s="273"/>
      <c r="L65" s="280" t="s">
        <v>22</v>
      </c>
      <c r="M65" s="273"/>
      <c r="N65" s="281"/>
      <c r="O65" s="90"/>
    </row>
    <row r="66" spans="1:15" x14ac:dyDescent="0.2">
      <c r="A66" s="282" t="s">
        <v>49</v>
      </c>
      <c r="B66" s="263"/>
      <c r="C66" s="263"/>
      <c r="D66" s="284" t="s">
        <v>50</v>
      </c>
      <c r="E66" s="285"/>
      <c r="F66" s="285"/>
      <c r="G66" s="285"/>
      <c r="H66" s="285"/>
      <c r="I66" s="286" t="s">
        <v>51</v>
      </c>
      <c r="J66" s="287"/>
      <c r="K66" s="287"/>
      <c r="L66" s="288" t="s">
        <v>52</v>
      </c>
      <c r="M66" s="287"/>
      <c r="N66" s="289"/>
      <c r="O66" s="90"/>
    </row>
    <row r="67" spans="1:15" x14ac:dyDescent="0.2">
      <c r="A67" s="283"/>
      <c r="B67" s="263"/>
      <c r="C67" s="263"/>
      <c r="D67" s="290" t="s">
        <v>180</v>
      </c>
      <c r="E67" s="291"/>
      <c r="F67" s="291"/>
      <c r="G67" s="291"/>
      <c r="H67" s="291"/>
      <c r="I67" s="252"/>
      <c r="J67" s="252"/>
      <c r="K67" s="252"/>
      <c r="L67" s="295" t="s">
        <v>181</v>
      </c>
      <c r="M67" s="252"/>
      <c r="N67" s="261"/>
      <c r="O67" s="90"/>
    </row>
    <row r="68" spans="1:15" x14ac:dyDescent="0.2">
      <c r="A68" s="256" t="s">
        <v>39</v>
      </c>
      <c r="B68" s="257"/>
      <c r="C68" s="257"/>
      <c r="D68" s="258">
        <f>+M37</f>
        <v>0.21664834022453872</v>
      </c>
      <c r="E68" s="258"/>
      <c r="F68" s="258"/>
      <c r="G68" s="258"/>
      <c r="H68" s="258"/>
      <c r="I68" s="276">
        <f>+$J$10</f>
        <v>1</v>
      </c>
      <c r="J68" s="277"/>
      <c r="K68" s="277"/>
      <c r="L68" s="276">
        <f>+D68/I68</f>
        <v>0.21664834022453872</v>
      </c>
      <c r="M68" s="277"/>
      <c r="N68" s="278"/>
      <c r="O68" s="90"/>
    </row>
    <row r="69" spans="1:15" x14ac:dyDescent="0.2">
      <c r="A69" s="256" t="s">
        <v>40</v>
      </c>
      <c r="B69" s="257"/>
      <c r="C69" s="257"/>
      <c r="D69" s="258">
        <f>+M38</f>
        <v>0.15677937373225564</v>
      </c>
      <c r="E69" s="258"/>
      <c r="F69" s="258"/>
      <c r="G69" s="258"/>
      <c r="H69" s="258"/>
      <c r="I69" s="276">
        <f>+$J$10</f>
        <v>1</v>
      </c>
      <c r="J69" s="277"/>
      <c r="K69" s="277"/>
      <c r="L69" s="276">
        <f>+D69/I69</f>
        <v>0.15677937373225564</v>
      </c>
      <c r="M69" s="277"/>
      <c r="N69" s="278"/>
      <c r="O69" s="90"/>
    </row>
    <row r="70" spans="1:15" ht="14.25" x14ac:dyDescent="0.2">
      <c r="A70" s="259" t="s">
        <v>153</v>
      </c>
      <c r="B70" s="257"/>
      <c r="C70" s="257"/>
      <c r="D70" s="258">
        <f>+M39</f>
        <v>0.1227598159725671</v>
      </c>
      <c r="E70" s="258"/>
      <c r="F70" s="258"/>
      <c r="G70" s="258"/>
      <c r="H70" s="258"/>
      <c r="I70" s="276">
        <f>+$J$10</f>
        <v>1</v>
      </c>
      <c r="J70" s="277"/>
      <c r="K70" s="277"/>
      <c r="L70" s="276">
        <f>+D70/I70</f>
        <v>0.1227598159725671</v>
      </c>
      <c r="M70" s="277"/>
      <c r="N70" s="278"/>
      <c r="O70" s="90"/>
    </row>
    <row r="71" spans="1:15" ht="13.5" thickBot="1" x14ac:dyDescent="0.25">
      <c r="A71" s="292" t="s">
        <v>41</v>
      </c>
      <c r="B71" s="293"/>
      <c r="C71" s="293"/>
      <c r="D71" s="294">
        <f>+M41</f>
        <v>5.9868966492283071E-2</v>
      </c>
      <c r="E71" s="294"/>
      <c r="F71" s="294"/>
      <c r="G71" s="294"/>
      <c r="H71" s="294"/>
      <c r="I71" s="276">
        <f>+$J$10</f>
        <v>1</v>
      </c>
      <c r="J71" s="277"/>
      <c r="K71" s="277"/>
      <c r="L71" s="276">
        <f>+D71/I71</f>
        <v>5.9868966492283071E-2</v>
      </c>
      <c r="M71" s="277"/>
      <c r="N71" s="278"/>
      <c r="O71" s="90"/>
    </row>
    <row r="72" spans="1:15" x14ac:dyDescent="0.2">
      <c r="A72" s="269" t="s">
        <v>155</v>
      </c>
      <c r="B72" s="270"/>
      <c r="C72" s="270"/>
      <c r="D72" s="270"/>
      <c r="E72" s="270"/>
      <c r="F72" s="270"/>
      <c r="G72" s="270"/>
      <c r="H72" s="270"/>
      <c r="I72" s="270"/>
      <c r="J72" s="270"/>
      <c r="K72" s="270"/>
      <c r="L72" s="270"/>
      <c r="M72" s="270"/>
      <c r="N72" s="270"/>
      <c r="O72" s="90"/>
    </row>
    <row r="73" spans="1:15" x14ac:dyDescent="0.2">
      <c r="A73" s="90"/>
      <c r="B73" s="90"/>
      <c r="C73" s="44"/>
      <c r="D73" s="44"/>
      <c r="E73" s="198"/>
      <c r="F73" s="198"/>
      <c r="G73" s="198"/>
      <c r="H73" s="198"/>
      <c r="I73" s="198"/>
      <c r="J73" s="198"/>
      <c r="K73" s="198"/>
      <c r="L73" s="198"/>
      <c r="M73" s="198"/>
      <c r="N73" s="198"/>
      <c r="O73" s="90"/>
    </row>
    <row r="74" spans="1:15" x14ac:dyDescent="0.2">
      <c r="A74" s="90"/>
      <c r="B74" s="90"/>
      <c r="C74" s="44"/>
      <c r="D74" s="44"/>
      <c r="E74" s="198"/>
      <c r="F74" s="198"/>
      <c r="G74" s="198"/>
      <c r="H74" s="198"/>
      <c r="I74" s="198"/>
      <c r="J74" s="198"/>
      <c r="K74" s="198"/>
      <c r="L74" s="198"/>
      <c r="M74" s="198"/>
      <c r="N74" s="198"/>
      <c r="O74" s="90"/>
    </row>
    <row r="75" spans="1:15" x14ac:dyDescent="0.2">
      <c r="A75" s="90"/>
      <c r="B75" s="90"/>
      <c r="C75" s="44"/>
      <c r="D75" s="44"/>
      <c r="E75" s="198"/>
      <c r="F75" s="198"/>
      <c r="G75" s="198"/>
      <c r="H75" s="198"/>
      <c r="I75" s="198"/>
      <c r="J75" s="198"/>
      <c r="K75" s="198"/>
      <c r="L75" s="198"/>
      <c r="M75" s="198"/>
      <c r="N75" s="198"/>
      <c r="O75" s="90"/>
    </row>
    <row r="76" spans="1:15" x14ac:dyDescent="0.2">
      <c r="A76" s="90"/>
      <c r="B76" s="90"/>
      <c r="C76" s="44"/>
      <c r="D76" s="44"/>
      <c r="E76" s="198"/>
      <c r="F76" s="198"/>
      <c r="G76" s="198"/>
      <c r="H76" s="198"/>
      <c r="I76" s="198"/>
      <c r="J76" s="198"/>
      <c r="K76" s="198"/>
      <c r="L76" s="198"/>
      <c r="M76" s="198"/>
      <c r="N76" s="198"/>
      <c r="O76" s="90"/>
    </row>
    <row r="77" spans="1:15" x14ac:dyDescent="0.2">
      <c r="A77" s="202"/>
      <c r="B77" s="90"/>
      <c r="C77" s="44"/>
      <c r="D77" s="44"/>
      <c r="E77" s="198"/>
      <c r="F77" s="198"/>
      <c r="G77" s="198"/>
      <c r="H77" s="198"/>
      <c r="I77" s="198"/>
      <c r="J77" s="198"/>
      <c r="K77" s="198"/>
      <c r="L77" s="198"/>
      <c r="M77" s="198"/>
      <c r="N77" s="198"/>
      <c r="O77" s="90"/>
    </row>
    <row r="78" spans="1:15" x14ac:dyDescent="0.2">
      <c r="A78" s="90"/>
      <c r="B78" s="90"/>
      <c r="C78" s="90"/>
      <c r="D78" s="90"/>
      <c r="E78" s="90"/>
      <c r="F78" s="90"/>
      <c r="G78" s="90"/>
      <c r="H78" s="90"/>
      <c r="I78" s="90"/>
      <c r="J78" s="90"/>
      <c r="K78" s="90"/>
      <c r="L78" s="90"/>
      <c r="M78" s="90"/>
      <c r="N78" s="90"/>
      <c r="O78" s="90"/>
    </row>
    <row r="79" spans="1:15" x14ac:dyDescent="0.2">
      <c r="A79" s="201"/>
      <c r="B79" s="201"/>
      <c r="C79" s="201"/>
      <c r="D79" s="201"/>
      <c r="E79" s="201"/>
      <c r="F79" s="201"/>
      <c r="G79" s="201"/>
      <c r="H79" s="201"/>
      <c r="I79" s="201"/>
      <c r="J79" s="201"/>
      <c r="K79" s="201"/>
      <c r="L79" s="201"/>
      <c r="M79" s="201"/>
      <c r="N79" s="201"/>
      <c r="O79" s="201"/>
    </row>
    <row r="80" spans="1:15" x14ac:dyDescent="0.2">
      <c r="A80" s="201"/>
      <c r="B80" s="201"/>
      <c r="C80" s="201"/>
      <c r="D80" s="201"/>
      <c r="E80" s="201"/>
      <c r="F80" s="201"/>
      <c r="G80" s="201"/>
      <c r="H80" s="201"/>
      <c r="I80" s="201"/>
      <c r="J80" s="201"/>
      <c r="K80" s="201"/>
      <c r="L80" s="201"/>
      <c r="M80" s="201"/>
      <c r="N80" s="201"/>
      <c r="O80" s="201"/>
    </row>
    <row r="81" spans="1:15" x14ac:dyDescent="0.2">
      <c r="A81" s="63"/>
      <c r="B81" s="63"/>
      <c r="C81" s="63"/>
      <c r="D81" s="63"/>
      <c r="E81" s="63"/>
      <c r="F81" s="63"/>
      <c r="G81" s="63"/>
      <c r="H81" s="63"/>
      <c r="I81" s="63"/>
      <c r="J81" s="63"/>
      <c r="K81" s="63"/>
      <c r="L81" s="63"/>
      <c r="M81" s="63"/>
      <c r="N81" s="63"/>
      <c r="O81" s="201"/>
    </row>
    <row r="82" spans="1:15" x14ac:dyDescent="0.2">
      <c r="A82" s="203"/>
      <c r="B82" s="203"/>
      <c r="C82" s="203"/>
      <c r="D82" s="203"/>
      <c r="E82" s="203"/>
      <c r="F82" s="203"/>
      <c r="G82" s="203"/>
      <c r="H82" s="203"/>
      <c r="I82" s="203"/>
      <c r="J82" s="203"/>
      <c r="K82" s="203"/>
      <c r="L82" s="203"/>
      <c r="M82" s="203"/>
      <c r="N82" s="203"/>
      <c r="O82" s="201"/>
    </row>
    <row r="83" spans="1:15" x14ac:dyDescent="0.2">
      <c r="A83" s="204"/>
      <c r="B83" s="204"/>
      <c r="C83" s="204"/>
      <c r="D83" s="204"/>
      <c r="E83" s="63"/>
      <c r="F83" s="63"/>
      <c r="G83" s="63"/>
      <c r="H83" s="63"/>
      <c r="I83" s="63"/>
      <c r="J83" s="63"/>
      <c r="K83" s="63"/>
      <c r="L83" s="63"/>
      <c r="M83" s="63"/>
      <c r="N83" s="63"/>
      <c r="O83" s="201"/>
    </row>
    <row r="84" spans="1:15" x14ac:dyDescent="0.2">
      <c r="A84" s="204"/>
      <c r="B84" s="204"/>
      <c r="C84" s="204"/>
      <c r="D84" s="204"/>
      <c r="E84" s="203"/>
      <c r="F84" s="201"/>
      <c r="G84" s="201"/>
      <c r="H84" s="203"/>
      <c r="I84" s="203"/>
      <c r="J84" s="203"/>
      <c r="K84" s="63"/>
      <c r="L84" s="63"/>
      <c r="M84" s="203"/>
      <c r="N84" s="203"/>
      <c r="O84" s="201"/>
    </row>
    <row r="85" spans="1:15" x14ac:dyDescent="0.2">
      <c r="A85" s="205"/>
      <c r="B85" s="205"/>
      <c r="C85" s="205"/>
      <c r="D85" s="205"/>
      <c r="E85" s="198"/>
      <c r="F85" s="44"/>
      <c r="G85" s="44"/>
      <c r="H85" s="198"/>
      <c r="I85" s="44"/>
      <c r="J85" s="44"/>
      <c r="K85" s="44"/>
      <c r="L85" s="44"/>
      <c r="M85" s="194"/>
      <c r="N85" s="194"/>
      <c r="O85" s="201"/>
    </row>
    <row r="86" spans="1:15" x14ac:dyDescent="0.2">
      <c r="A86" s="205"/>
      <c r="B86" s="205"/>
      <c r="C86" s="205"/>
      <c r="D86" s="205"/>
      <c r="E86" s="198"/>
      <c r="F86" s="44"/>
      <c r="G86" s="44"/>
      <c r="H86" s="198"/>
      <c r="I86" s="44"/>
      <c r="J86" s="44"/>
      <c r="K86" s="44"/>
      <c r="L86" s="44"/>
      <c r="M86" s="194"/>
      <c r="N86" s="194"/>
      <c r="O86" s="201"/>
    </row>
    <row r="87" spans="1:15" x14ac:dyDescent="0.2">
      <c r="A87" s="205"/>
      <c r="B87" s="205"/>
      <c r="C87" s="205"/>
      <c r="D87" s="205"/>
      <c r="E87" s="198"/>
      <c r="F87" s="44"/>
      <c r="G87" s="44"/>
      <c r="H87" s="198"/>
      <c r="I87" s="44"/>
      <c r="J87" s="44"/>
      <c r="K87" s="44"/>
      <c r="L87" s="44"/>
      <c r="M87" s="194"/>
      <c r="N87" s="194"/>
      <c r="O87" s="201"/>
    </row>
    <row r="88" spans="1:15" x14ac:dyDescent="0.2">
      <c r="A88" s="201"/>
      <c r="B88" s="201"/>
      <c r="C88" s="201"/>
      <c r="D88" s="201"/>
      <c r="E88" s="201"/>
      <c r="F88" s="201"/>
      <c r="G88" s="201"/>
      <c r="H88" s="201"/>
      <c r="I88" s="201"/>
      <c r="J88" s="201"/>
      <c r="K88" s="201"/>
      <c r="L88" s="201"/>
      <c r="M88" s="201"/>
      <c r="N88" s="201"/>
      <c r="O88" s="201"/>
    </row>
    <row r="89" spans="1:15" x14ac:dyDescent="0.2">
      <c r="A89" s="201"/>
      <c r="B89" s="201"/>
      <c r="C89" s="201"/>
      <c r="D89" s="201"/>
      <c r="E89" s="201"/>
      <c r="F89" s="201"/>
      <c r="G89" s="201"/>
      <c r="H89" s="201"/>
      <c r="I89" s="201"/>
      <c r="J89" s="201"/>
      <c r="K89" s="201"/>
      <c r="L89" s="201"/>
      <c r="M89" s="201"/>
      <c r="N89" s="201"/>
      <c r="O89" s="201"/>
    </row>
  </sheetData>
  <mergeCells count="247">
    <mergeCell ref="A2:N2"/>
    <mergeCell ref="A3:G3"/>
    <mergeCell ref="H3:N3"/>
    <mergeCell ref="A5:C5"/>
    <mergeCell ref="E5:G5"/>
    <mergeCell ref="H5:J5"/>
    <mergeCell ref="K5:N5"/>
    <mergeCell ref="A4:C4"/>
    <mergeCell ref="E4:G4"/>
    <mergeCell ref="H4:J4"/>
    <mergeCell ref="K4:N4"/>
    <mergeCell ref="A7:C7"/>
    <mergeCell ref="E7:G7"/>
    <mergeCell ref="H7:J7"/>
    <mergeCell ref="K7:N7"/>
    <mergeCell ref="A6:C6"/>
    <mergeCell ref="E6:G6"/>
    <mergeCell ref="H6:J6"/>
    <mergeCell ref="K6:N6"/>
    <mergeCell ref="H10:I10"/>
    <mergeCell ref="J11:N11"/>
    <mergeCell ref="J10:N10"/>
    <mergeCell ref="H11:I11"/>
    <mergeCell ref="A10:G10"/>
    <mergeCell ref="A11:D11"/>
    <mergeCell ref="H9:I9"/>
    <mergeCell ref="J9:N9"/>
    <mergeCell ref="A8:G8"/>
    <mergeCell ref="H8:I8"/>
    <mergeCell ref="J8:N8"/>
    <mergeCell ref="A9:G9"/>
    <mergeCell ref="A13:G13"/>
    <mergeCell ref="H13:I13"/>
    <mergeCell ref="J16:N16"/>
    <mergeCell ref="J15:N15"/>
    <mergeCell ref="J14:N14"/>
    <mergeCell ref="J13:N13"/>
    <mergeCell ref="A14:G14"/>
    <mergeCell ref="H14:I14"/>
    <mergeCell ref="A12:G12"/>
    <mergeCell ref="H12:I12"/>
    <mergeCell ref="J12:N12"/>
    <mergeCell ref="A15:G15"/>
    <mergeCell ref="H15:I15"/>
    <mergeCell ref="A16:G16"/>
    <mergeCell ref="H16:I16"/>
    <mergeCell ref="F26:G26"/>
    <mergeCell ref="H26:I26"/>
    <mergeCell ref="A26:B26"/>
    <mergeCell ref="C26:E26"/>
    <mergeCell ref="J26:L26"/>
    <mergeCell ref="I71:K71"/>
    <mergeCell ref="A70:C70"/>
    <mergeCell ref="D70:H70"/>
    <mergeCell ref="I70:K70"/>
    <mergeCell ref="L70:N70"/>
    <mergeCell ref="A69:C69"/>
    <mergeCell ref="A68:C68"/>
    <mergeCell ref="D68:H68"/>
    <mergeCell ref="I68:K68"/>
    <mergeCell ref="L68:N68"/>
    <mergeCell ref="D67:H67"/>
    <mergeCell ref="L67:N67"/>
    <mergeCell ref="A66:C67"/>
    <mergeCell ref="D66:H66"/>
    <mergeCell ref="M38:N38"/>
    <mergeCell ref="D65:H65"/>
    <mergeCell ref="I65:K65"/>
    <mergeCell ref="L65:N65"/>
    <mergeCell ref="A65:C65"/>
    <mergeCell ref="J19:N19"/>
    <mergeCell ref="A18:G18"/>
    <mergeCell ref="H18:I18"/>
    <mergeCell ref="J18:N18"/>
    <mergeCell ref="A23:B23"/>
    <mergeCell ref="C23:E23"/>
    <mergeCell ref="F23:G23"/>
    <mergeCell ref="H23:I23"/>
    <mergeCell ref="J23:L23"/>
    <mergeCell ref="D40:D41"/>
    <mergeCell ref="E40:E41"/>
    <mergeCell ref="M41:N41"/>
    <mergeCell ref="M51:N52"/>
    <mergeCell ref="A53:B53"/>
    <mergeCell ref="D53:E53"/>
    <mergeCell ref="G53:H53"/>
    <mergeCell ref="J53:K53"/>
    <mergeCell ref="M53:N53"/>
    <mergeCell ref="J48:K50"/>
    <mergeCell ref="A47:B47"/>
    <mergeCell ref="D47:E47"/>
    <mergeCell ref="G47:H47"/>
    <mergeCell ref="J47:K47"/>
    <mergeCell ref="M47:N47"/>
    <mergeCell ref="A42:N42"/>
    <mergeCell ref="A46:N46"/>
    <mergeCell ref="L40:L41"/>
    <mergeCell ref="M40:N40"/>
    <mergeCell ref="A40:B41"/>
    <mergeCell ref="C40:C41"/>
    <mergeCell ref="A48:B52"/>
    <mergeCell ref="C48:C50"/>
    <mergeCell ref="D48:E50"/>
    <mergeCell ref="F48:F50"/>
    <mergeCell ref="G48:H50"/>
    <mergeCell ref="I48:I50"/>
    <mergeCell ref="L48:L50"/>
    <mergeCell ref="M48:N50"/>
    <mergeCell ref="C51:C52"/>
    <mergeCell ref="D51:E52"/>
    <mergeCell ref="F51:F52"/>
    <mergeCell ref="G51:H52"/>
    <mergeCell ref="I51:I52"/>
    <mergeCell ref="J51:K52"/>
    <mergeCell ref="L51:L52"/>
    <mergeCell ref="A54:B54"/>
    <mergeCell ref="D54:E54"/>
    <mergeCell ref="G54:H54"/>
    <mergeCell ref="J54:K54"/>
    <mergeCell ref="M54:N54"/>
    <mergeCell ref="A55:B55"/>
    <mergeCell ref="D55:E55"/>
    <mergeCell ref="G55:H55"/>
    <mergeCell ref="J55:K55"/>
    <mergeCell ref="M55:N55"/>
    <mergeCell ref="A72:N72"/>
    <mergeCell ref="A60:B60"/>
    <mergeCell ref="D60:E60"/>
    <mergeCell ref="G60:H60"/>
    <mergeCell ref="J60:K60"/>
    <mergeCell ref="M60:N60"/>
    <mergeCell ref="A61:N61"/>
    <mergeCell ref="D69:H69"/>
    <mergeCell ref="I69:K69"/>
    <mergeCell ref="L69:N69"/>
    <mergeCell ref="A64:N64"/>
    <mergeCell ref="A59:B59"/>
    <mergeCell ref="D59:E59"/>
    <mergeCell ref="G59:H59"/>
    <mergeCell ref="J59:K59"/>
    <mergeCell ref="M59:N59"/>
    <mergeCell ref="L71:N71"/>
    <mergeCell ref="L66:N66"/>
    <mergeCell ref="I66:K67"/>
    <mergeCell ref="A71:C71"/>
    <mergeCell ref="D71:H71"/>
    <mergeCell ref="A58:B58"/>
    <mergeCell ref="D58:E58"/>
    <mergeCell ref="G58:H58"/>
    <mergeCell ref="J58:K58"/>
    <mergeCell ref="M58:N58"/>
    <mergeCell ref="A56:B56"/>
    <mergeCell ref="D56:E56"/>
    <mergeCell ref="G56:H56"/>
    <mergeCell ref="J56:K56"/>
    <mergeCell ref="M56:N56"/>
    <mergeCell ref="A57:B57"/>
    <mergeCell ref="D57:E57"/>
    <mergeCell ref="G57:H57"/>
    <mergeCell ref="J57:K57"/>
    <mergeCell ref="M57:N57"/>
    <mergeCell ref="M39:N39"/>
    <mergeCell ref="M36:N36"/>
    <mergeCell ref="M33:N33"/>
    <mergeCell ref="M34:N35"/>
    <mergeCell ref="M37:N37"/>
    <mergeCell ref="A32:N32"/>
    <mergeCell ref="A33:B33"/>
    <mergeCell ref="C33:E33"/>
    <mergeCell ref="F33:G33"/>
    <mergeCell ref="H33:I33"/>
    <mergeCell ref="J33:K33"/>
    <mergeCell ref="A34:B36"/>
    <mergeCell ref="C34:E34"/>
    <mergeCell ref="F34:G35"/>
    <mergeCell ref="H34:I35"/>
    <mergeCell ref="J34:K34"/>
    <mergeCell ref="L34:L36"/>
    <mergeCell ref="C35:E35"/>
    <mergeCell ref="J35:K36"/>
    <mergeCell ref="A37:B37"/>
    <mergeCell ref="A38:B38"/>
    <mergeCell ref="A39:B39"/>
    <mergeCell ref="H38:I38"/>
    <mergeCell ref="H39:I39"/>
    <mergeCell ref="F40:G41"/>
    <mergeCell ref="F39:G39"/>
    <mergeCell ref="H40:I41"/>
    <mergeCell ref="J40:K41"/>
    <mergeCell ref="H37:I37"/>
    <mergeCell ref="F36:G36"/>
    <mergeCell ref="H36:I36"/>
    <mergeCell ref="F37:G37"/>
    <mergeCell ref="F38:G38"/>
    <mergeCell ref="J37:K37"/>
    <mergeCell ref="J38:K38"/>
    <mergeCell ref="J39:K39"/>
    <mergeCell ref="A27:B27"/>
    <mergeCell ref="C27:E27"/>
    <mergeCell ref="F27:G27"/>
    <mergeCell ref="H27:I27"/>
    <mergeCell ref="J27:L27"/>
    <mergeCell ref="F28:G28"/>
    <mergeCell ref="C28:E28"/>
    <mergeCell ref="H28:I28"/>
    <mergeCell ref="A28:B28"/>
    <mergeCell ref="J28:L28"/>
    <mergeCell ref="R13:V14"/>
    <mergeCell ref="R15:S16"/>
    <mergeCell ref="T15:V15"/>
    <mergeCell ref="R17:S17"/>
    <mergeCell ref="R18:S18"/>
    <mergeCell ref="R19:S19"/>
    <mergeCell ref="R21:S21"/>
    <mergeCell ref="R20:S20"/>
    <mergeCell ref="M28:N28"/>
    <mergeCell ref="M26:N26"/>
    <mergeCell ref="M27:N27"/>
    <mergeCell ref="J17:N17"/>
    <mergeCell ref="A22:N22"/>
    <mergeCell ref="M23:N23"/>
    <mergeCell ref="A24:B25"/>
    <mergeCell ref="C24:E25"/>
    <mergeCell ref="F24:G25"/>
    <mergeCell ref="H24:I25"/>
    <mergeCell ref="M24:N25"/>
    <mergeCell ref="J24:L25"/>
    <mergeCell ref="A17:G17"/>
    <mergeCell ref="H17:I17"/>
    <mergeCell ref="A19:G19"/>
    <mergeCell ref="H19:I19"/>
    <mergeCell ref="R43:V46"/>
    <mergeCell ref="R41:S41"/>
    <mergeCell ref="R42:S42"/>
    <mergeCell ref="R39:S39"/>
    <mergeCell ref="R40:S40"/>
    <mergeCell ref="R37:S37"/>
    <mergeCell ref="R38:S38"/>
    <mergeCell ref="R22:S22"/>
    <mergeCell ref="R23:S23"/>
    <mergeCell ref="R24:V25"/>
    <mergeCell ref="R30:V31"/>
    <mergeCell ref="R34:S34"/>
    <mergeCell ref="R32:S33"/>
    <mergeCell ref="T32:V32"/>
    <mergeCell ref="R35:S35"/>
    <mergeCell ref="R36:S36"/>
  </mergeCells>
  <conditionalFormatting sqref="J11:N11">
    <cfRule type="cellIs" dxfId="2" priority="1" stopIfTrue="1" operator="greaterThan">
      <formula>$F$11</formula>
    </cfRule>
  </conditionalFormatting>
  <dataValidations count="10">
    <dataValidation type="list" allowBlank="1" showInputMessage="1" showErrorMessage="1" errorTitle="Invalid" sqref="J18:N18" xr:uid="{00000000-0002-0000-0300-000000000000}">
      <formula1>SpEnforce</formula1>
    </dataValidation>
    <dataValidation type="list" allowBlank="1" showInputMessage="1" showErrorMessage="1" sqref="J17:N17" xr:uid="{00000000-0002-0000-0300-000001000000}">
      <formula1>Lighting</formula1>
    </dataValidation>
    <dataValidation type="list" allowBlank="1" showInputMessage="1" showErrorMessage="1" errorTitle="Error Input" error="Select from the values provided.  Refer to p. 11-13 of the HSM for lane width rounding options." sqref="J12:N12" xr:uid="{00000000-0002-0000-0300-000002000000}">
      <formula1>LWidth</formula1>
    </dataValidation>
    <dataValidation type="list" allowBlank="1" showInputMessage="1" showErrorMessage="1" errorTitle="Input Error" error="Select from the options provided.  Refer to p. 11-13 of the HSM for rounding recommendations for shoulder widths." sqref="J13:N13" xr:uid="{00000000-0002-0000-0300-000003000000}">
      <formula1>Shld3</formula1>
    </dataValidation>
    <dataValidation type="list" allowBlank="1" showInputMessage="1" showErrorMessage="1" sqref="J14:N14" xr:uid="{00000000-0002-0000-0300-000004000000}">
      <formula1>SType</formula1>
    </dataValidation>
    <dataValidation type="decimal" operator="greaterThan" allowBlank="1" showInputMessage="1" showErrorMessage="1" sqref="J10:N10" xr:uid="{00000000-0002-0000-0300-000005000000}">
      <formula1>0</formula1>
    </dataValidation>
    <dataValidation operator="greaterThan" allowBlank="1" showInputMessage="1" showErrorMessage="1" sqref="J9:N9" xr:uid="{00000000-0002-0000-0300-000006000000}"/>
    <dataValidation type="list" allowBlank="1" showInputMessage="1" showErrorMessage="1" sqref="J16:N16" xr:uid="{00000000-0002-0000-0300-000007000000}">
      <formula1>SSlope2</formula1>
    </dataValidation>
    <dataValidation type="whole" operator="greaterThan" allowBlank="1" showInputMessage="1" showErrorMessage="1" sqref="K7:N7" xr:uid="{00000000-0002-0000-0300-000008000000}">
      <formula1>1990</formula1>
    </dataValidation>
    <dataValidation type="whole" operator="lessThanOrEqual" allowBlank="1" showInputMessage="1" showErrorMessage="1" sqref="J11:N11" xr:uid="{00000000-0002-0000-0300-000009000000}">
      <formula1>33200</formula1>
    </dataValidation>
  </dataValidations>
  <pageMargins left="0.7" right="0.7" top="0.75" bottom="0.75" header="0.3" footer="0.3"/>
  <pageSetup orientation="portrait" r:id="rId1"/>
  <ignoredErrors>
    <ignoredError sqref="A23 C23 F23 H23 J23 M23 A33 C33 F33 H33 J33 L33:M33 A47 C47:D47 F47:G47 I47:J47 L47:M47 A65 D65 I65 L65" numberStoredAsText="1"/>
    <ignoredError sqref="U19 U21 U36 U3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BG82"/>
  <sheetViews>
    <sheetView zoomScaleNormal="100" workbookViewId="0">
      <selection activeCell="A34" sqref="A34:XFD34"/>
    </sheetView>
  </sheetViews>
  <sheetFormatPr defaultRowHeight="12.75" x14ac:dyDescent="0.2"/>
  <cols>
    <col min="1" max="1" width="14.28515625" customWidth="1"/>
    <col min="2" max="2" width="15.85546875" customWidth="1"/>
    <col min="3" max="3" width="14.28515625" customWidth="1"/>
    <col min="4" max="4" width="12" customWidth="1"/>
    <col min="5" max="5" width="13.140625" customWidth="1"/>
    <col min="6" max="6" width="13.28515625" customWidth="1"/>
    <col min="7" max="7" width="12.28515625" customWidth="1"/>
    <col min="8" max="8" width="13.85546875" customWidth="1"/>
    <col min="9" max="9" width="18.42578125" customWidth="1"/>
    <col min="10" max="10" width="15.7109375" customWidth="1"/>
    <col min="11" max="11" width="15.5703125" customWidth="1"/>
    <col min="12" max="12" width="17.42578125" customWidth="1"/>
    <col min="13" max="13" width="14.5703125" customWidth="1"/>
    <col min="15" max="15" width="61.140625" customWidth="1"/>
    <col min="16" max="16" width="11.140625" customWidth="1"/>
    <col min="17" max="17" width="11" customWidth="1"/>
    <col min="18" max="18" width="10.7109375" customWidth="1"/>
    <col min="19" max="19" width="12.140625" customWidth="1"/>
    <col min="20" max="20" width="10.85546875" customWidth="1"/>
    <col min="21" max="21" width="12" customWidth="1"/>
    <col min="22" max="22" width="10.85546875" customWidth="1"/>
    <col min="25" max="25" width="12.140625" customWidth="1"/>
    <col min="26" max="26" width="10.85546875" customWidth="1"/>
    <col min="27" max="27" width="11.140625" customWidth="1"/>
    <col min="28" max="28" width="13" customWidth="1"/>
    <col min="29" max="29" width="10.28515625" customWidth="1"/>
    <col min="30" max="30" width="11.5703125" customWidth="1"/>
    <col min="39" max="39" width="11" customWidth="1"/>
    <col min="40" max="40" width="12.42578125" customWidth="1"/>
    <col min="41" max="41" width="10.42578125" customWidth="1"/>
    <col min="42" max="42" width="10.7109375" customWidth="1"/>
    <col min="43" max="43" width="12.42578125" customWidth="1"/>
    <col min="44" max="44" width="10.42578125" customWidth="1"/>
    <col min="45" max="45" width="11.7109375" customWidth="1"/>
    <col min="46" max="46" width="10.42578125" customWidth="1"/>
    <col min="49" max="49" width="10.140625" customWidth="1"/>
  </cols>
  <sheetData>
    <row r="1" spans="1:59" ht="13.5" thickBot="1" x14ac:dyDescent="0.25">
      <c r="O1" s="31"/>
      <c r="P1" s="31"/>
      <c r="Q1" s="6"/>
      <c r="T1" s="25"/>
      <c r="Z1" s="7"/>
      <c r="AB1" s="31"/>
      <c r="AC1" s="31"/>
      <c r="AD1" s="31"/>
      <c r="AE1" s="31"/>
      <c r="AL1" s="31"/>
      <c r="AM1" s="31"/>
      <c r="AN1" s="31"/>
      <c r="AO1" s="31"/>
      <c r="AP1" s="31"/>
      <c r="AQ1" s="31"/>
      <c r="AR1" s="31"/>
      <c r="AS1" s="31"/>
      <c r="AT1" s="31"/>
      <c r="AV1" s="31"/>
      <c r="AW1" s="31"/>
      <c r="AX1" s="31"/>
      <c r="AY1" s="31"/>
      <c r="AZ1" s="31"/>
      <c r="BA1" s="31"/>
      <c r="BB1" s="31"/>
      <c r="BC1" s="31"/>
      <c r="BD1" s="31"/>
      <c r="BE1" s="31"/>
      <c r="BF1" s="31"/>
      <c r="BG1" s="31"/>
    </row>
    <row r="2" spans="1:59" ht="14.25" customHeight="1" thickTop="1" thickBot="1" x14ac:dyDescent="0.25">
      <c r="A2" s="271" t="s">
        <v>213</v>
      </c>
      <c r="B2" s="328"/>
      <c r="C2" s="328"/>
      <c r="D2" s="520"/>
      <c r="E2" s="520"/>
      <c r="F2" s="520"/>
      <c r="G2" s="520"/>
      <c r="H2" s="520"/>
      <c r="I2" s="520"/>
      <c r="J2" s="520"/>
      <c r="K2" s="520"/>
      <c r="L2" s="520"/>
      <c r="M2" s="520"/>
      <c r="O2" s="31"/>
      <c r="P2" s="74"/>
      <c r="AB2" s="54"/>
      <c r="AC2" s="54"/>
      <c r="AD2" s="54"/>
      <c r="AE2" s="31"/>
      <c r="AL2" s="31"/>
      <c r="AM2" s="54"/>
      <c r="AN2" s="31"/>
      <c r="AO2" s="31"/>
      <c r="AP2" s="31"/>
      <c r="AQ2" s="31"/>
      <c r="AR2" s="31"/>
      <c r="AS2" s="31"/>
      <c r="AT2" s="31"/>
      <c r="AV2" s="31"/>
      <c r="AW2" s="54"/>
      <c r="AX2" s="54"/>
      <c r="AY2" s="54"/>
      <c r="AZ2" s="54"/>
      <c r="BA2" s="54"/>
      <c r="BB2" s="54"/>
      <c r="BC2" s="54"/>
      <c r="BD2" s="54"/>
      <c r="BE2" s="54"/>
      <c r="BF2" s="54"/>
      <c r="BG2" s="31"/>
    </row>
    <row r="3" spans="1:59" x14ac:dyDescent="0.2">
      <c r="A3" s="579" t="s">
        <v>0</v>
      </c>
      <c r="B3" s="580"/>
      <c r="C3" s="580"/>
      <c r="D3" s="580"/>
      <c r="E3" s="580"/>
      <c r="F3" s="581"/>
      <c r="G3" s="582" t="s">
        <v>11</v>
      </c>
      <c r="H3" s="583"/>
      <c r="I3" s="583"/>
      <c r="J3" s="583"/>
      <c r="K3" s="583"/>
      <c r="L3" s="583"/>
      <c r="M3" s="583"/>
      <c r="O3" s="31"/>
      <c r="P3" s="25"/>
      <c r="AB3" s="25"/>
      <c r="AC3" s="25"/>
      <c r="AD3" s="25"/>
      <c r="AE3" s="31"/>
      <c r="AL3" s="31"/>
      <c r="AM3" s="31"/>
      <c r="AN3" s="31"/>
      <c r="AO3" s="31"/>
      <c r="AP3" s="31"/>
      <c r="AQ3" s="31"/>
      <c r="AR3" s="31"/>
      <c r="AS3" s="31"/>
      <c r="AT3" s="31"/>
      <c r="AV3" s="31"/>
      <c r="AW3" s="54"/>
      <c r="AX3" s="54"/>
      <c r="AY3" s="54"/>
      <c r="AZ3" s="54"/>
      <c r="BA3" s="54"/>
      <c r="BB3" s="54"/>
      <c r="BC3" s="54"/>
      <c r="BD3" s="54"/>
      <c r="BE3" s="54"/>
      <c r="BF3" s="54"/>
      <c r="BG3" s="31"/>
    </row>
    <row r="4" spans="1:59" x14ac:dyDescent="0.2">
      <c r="A4" s="590" t="s">
        <v>1</v>
      </c>
      <c r="B4" s="590"/>
      <c r="C4" s="576"/>
      <c r="D4" s="588" t="s">
        <v>388</v>
      </c>
      <c r="E4" s="589"/>
      <c r="F4" s="591"/>
      <c r="G4" s="595" t="s">
        <v>12</v>
      </c>
      <c r="H4" s="590"/>
      <c r="I4" s="576"/>
      <c r="J4" s="588" t="s">
        <v>391</v>
      </c>
      <c r="K4" s="589"/>
      <c r="L4" s="589"/>
      <c r="M4" s="589"/>
      <c r="O4" s="31"/>
      <c r="P4" s="56"/>
      <c r="AB4" s="74"/>
      <c r="AC4" s="74"/>
      <c r="AD4" s="74"/>
      <c r="AE4" s="31"/>
      <c r="AL4" s="31"/>
      <c r="AM4" s="54"/>
      <c r="AN4" s="54"/>
      <c r="AO4" s="54"/>
      <c r="AP4" s="25"/>
      <c r="AQ4" s="54"/>
      <c r="AR4" s="25"/>
      <c r="AS4" s="25"/>
      <c r="AT4" s="25"/>
      <c r="AV4" s="31"/>
      <c r="AW4" s="54"/>
      <c r="AX4" s="54"/>
      <c r="AY4" s="54"/>
      <c r="AZ4" s="54"/>
      <c r="BA4" s="54"/>
      <c r="BB4" s="54"/>
      <c r="BC4" s="54"/>
      <c r="BD4" s="54"/>
      <c r="BE4" s="54"/>
      <c r="BF4" s="54"/>
      <c r="BG4" s="31"/>
    </row>
    <row r="5" spans="1:59" x14ac:dyDescent="0.2">
      <c r="A5" s="584" t="s">
        <v>2</v>
      </c>
      <c r="B5" s="587"/>
      <c r="C5" s="585"/>
      <c r="D5" s="592" t="s">
        <v>389</v>
      </c>
      <c r="E5" s="593"/>
      <c r="F5" s="594"/>
      <c r="G5" s="597" t="s">
        <v>91</v>
      </c>
      <c r="H5" s="587"/>
      <c r="I5" s="585"/>
      <c r="J5" s="598" t="s">
        <v>394</v>
      </c>
      <c r="K5" s="593"/>
      <c r="L5" s="593"/>
      <c r="M5" s="593"/>
      <c r="O5" s="31"/>
      <c r="P5" s="31"/>
      <c r="AB5" s="54"/>
      <c r="AC5" s="54"/>
      <c r="AD5" s="54"/>
      <c r="AE5" s="31"/>
      <c r="AL5" s="31"/>
      <c r="AM5" s="54"/>
      <c r="AN5" s="54"/>
      <c r="AO5" s="25"/>
      <c r="AP5" s="25"/>
      <c r="AQ5" s="25"/>
      <c r="AR5" s="25"/>
      <c r="AS5" s="25"/>
      <c r="AT5" s="25"/>
      <c r="AV5" s="31"/>
      <c r="AW5" s="54"/>
      <c r="AX5" s="54"/>
      <c r="AY5" s="54"/>
      <c r="AZ5" s="54"/>
      <c r="BA5" s="54"/>
      <c r="BB5" s="54"/>
      <c r="BC5" s="54"/>
      <c r="BD5" s="54"/>
      <c r="BE5" s="54"/>
      <c r="BF5" s="54"/>
      <c r="BG5" s="31"/>
    </row>
    <row r="6" spans="1:59" ht="12.75" customHeight="1" x14ac:dyDescent="0.2">
      <c r="A6" s="584" t="s">
        <v>3</v>
      </c>
      <c r="B6" s="587"/>
      <c r="C6" s="585"/>
      <c r="D6" s="596" t="s">
        <v>390</v>
      </c>
      <c r="E6" s="593"/>
      <c r="F6" s="594"/>
      <c r="G6" s="586" t="s">
        <v>14</v>
      </c>
      <c r="H6" s="587"/>
      <c r="I6" s="585"/>
      <c r="J6" s="598" t="s">
        <v>393</v>
      </c>
      <c r="K6" s="593"/>
      <c r="L6" s="593"/>
      <c r="M6" s="593"/>
      <c r="O6" s="31"/>
      <c r="P6" s="31"/>
      <c r="AB6" s="25"/>
      <c r="AC6" s="54"/>
      <c r="AD6" s="25"/>
      <c r="AE6" s="31"/>
      <c r="AL6" s="31"/>
      <c r="AM6" s="25"/>
      <c r="AN6" s="25"/>
      <c r="AO6" s="25"/>
      <c r="AP6" s="25"/>
      <c r="AQ6" s="105"/>
      <c r="AR6" s="105"/>
      <c r="AS6" s="105"/>
      <c r="AT6" s="105"/>
      <c r="AV6" s="31"/>
      <c r="AW6" s="33"/>
      <c r="AX6" s="30"/>
      <c r="AY6" s="30"/>
      <c r="AZ6" s="30"/>
      <c r="BA6" s="30"/>
      <c r="BB6" s="30"/>
      <c r="BC6" s="30"/>
      <c r="BD6" s="30"/>
      <c r="BE6" s="30"/>
      <c r="BF6" s="30"/>
      <c r="BG6" s="31"/>
    </row>
    <row r="7" spans="1:59" x14ac:dyDescent="0.2">
      <c r="A7" s="584"/>
      <c r="B7" s="584"/>
      <c r="C7" s="585"/>
      <c r="D7" s="586"/>
      <c r="E7" s="587"/>
      <c r="F7" s="585"/>
      <c r="G7" s="586" t="s">
        <v>15</v>
      </c>
      <c r="H7" s="587"/>
      <c r="I7" s="585"/>
      <c r="J7" s="599">
        <v>2019</v>
      </c>
      <c r="K7" s="600"/>
      <c r="L7" s="600"/>
      <c r="M7" s="600"/>
      <c r="O7" s="31"/>
      <c r="P7" s="57"/>
      <c r="AB7" s="25"/>
      <c r="AC7" s="25"/>
      <c r="AD7" s="25"/>
      <c r="AE7" s="31"/>
      <c r="AL7" s="31"/>
      <c r="AM7" s="25"/>
      <c r="AN7" s="25"/>
      <c r="AO7" s="25"/>
      <c r="AP7" s="25"/>
      <c r="AQ7" s="106"/>
      <c r="AR7" s="106"/>
      <c r="AS7" s="106"/>
      <c r="AT7" s="106"/>
      <c r="AV7" s="31"/>
      <c r="AW7" s="33"/>
      <c r="AX7" s="30"/>
      <c r="AY7" s="30"/>
      <c r="AZ7" s="30"/>
      <c r="BA7" s="30"/>
      <c r="BB7" s="30"/>
      <c r="BC7" s="30"/>
      <c r="BD7" s="30"/>
      <c r="BE7" s="30"/>
      <c r="BF7" s="30"/>
      <c r="BG7" s="31"/>
    </row>
    <row r="8" spans="1:59" x14ac:dyDescent="0.2">
      <c r="A8" s="566" t="s">
        <v>4</v>
      </c>
      <c r="B8" s="567"/>
      <c r="C8" s="567"/>
      <c r="D8" s="567"/>
      <c r="E8" s="567"/>
      <c r="F8" s="568"/>
      <c r="G8" s="569" t="s">
        <v>16</v>
      </c>
      <c r="H8" s="568"/>
      <c r="I8" s="569" t="s">
        <v>18</v>
      </c>
      <c r="J8" s="567"/>
      <c r="K8" s="567"/>
      <c r="L8" s="567"/>
      <c r="M8" s="567"/>
      <c r="O8" s="31"/>
      <c r="P8" s="56"/>
      <c r="AB8" s="31"/>
      <c r="AC8" s="31"/>
      <c r="AD8" s="31"/>
      <c r="AE8" s="31"/>
      <c r="AL8" s="31"/>
      <c r="AM8" s="48"/>
      <c r="AN8" s="25"/>
      <c r="AO8" s="64"/>
      <c r="AP8" s="25"/>
      <c r="AQ8" s="103"/>
      <c r="AR8" s="103"/>
      <c r="AS8" s="107"/>
      <c r="AT8" s="107"/>
      <c r="AV8" s="31"/>
      <c r="AW8" s="33"/>
      <c r="AX8" s="30"/>
      <c r="AY8" s="30"/>
      <c r="AZ8" s="30"/>
      <c r="BA8" s="30"/>
      <c r="BB8" s="30"/>
      <c r="BC8" s="30"/>
      <c r="BD8" s="30"/>
      <c r="BE8" s="30"/>
      <c r="BF8" s="30"/>
      <c r="BG8" s="31"/>
    </row>
    <row r="9" spans="1:59" ht="13.5" thickBot="1" x14ac:dyDescent="0.25">
      <c r="A9" s="559" t="s">
        <v>92</v>
      </c>
      <c r="B9" s="560"/>
      <c r="C9" s="560"/>
      <c r="D9" s="560"/>
      <c r="E9" s="560"/>
      <c r="F9" s="426"/>
      <c r="G9" s="575" t="s">
        <v>17</v>
      </c>
      <c r="H9" s="576"/>
      <c r="I9" s="577" t="s">
        <v>99</v>
      </c>
      <c r="J9" s="578"/>
      <c r="K9" s="578"/>
      <c r="L9" s="578"/>
      <c r="M9" s="578"/>
      <c r="O9" s="153" t="str">
        <f>IF($I$9="3ST","Unsignalized three-leg (stop control on minor-road approaches)",IF($I$9="4ST","Unsignalized four-leg (stop control on minor-road approaches)","Signalized four-leg"))</f>
        <v>Unsignalized three-leg (stop control on minor-road approaches)</v>
      </c>
      <c r="P9" s="78"/>
      <c r="AB9" s="10"/>
      <c r="AC9" s="10"/>
      <c r="AD9" s="10"/>
      <c r="AE9" s="31"/>
      <c r="AL9" s="31"/>
      <c r="AM9" s="25"/>
      <c r="AN9" s="25"/>
      <c r="AO9" s="25"/>
      <c r="AP9" s="25"/>
      <c r="AQ9" s="103"/>
      <c r="AR9" s="103"/>
      <c r="AS9" s="103"/>
      <c r="AT9" s="103"/>
      <c r="AV9" s="31"/>
      <c r="AW9" s="33"/>
      <c r="AX9" s="30"/>
      <c r="AY9" s="30"/>
      <c r="AZ9" s="30"/>
      <c r="BA9" s="30"/>
      <c r="BB9" s="30"/>
      <c r="BC9" s="30"/>
      <c r="BD9" s="30"/>
      <c r="BE9" s="30"/>
      <c r="BF9" s="30"/>
      <c r="BG9" s="31"/>
    </row>
    <row r="10" spans="1:59" ht="16.5" thickBot="1" x14ac:dyDescent="0.35">
      <c r="A10" s="559" t="s">
        <v>93</v>
      </c>
      <c r="B10" s="560"/>
      <c r="C10" s="574"/>
      <c r="D10" s="148" t="s">
        <v>351</v>
      </c>
      <c r="E10" s="149">
        <f>IF($I$9="3ST",78300,IF($I$9="4ST",78300,43500))</f>
        <v>78300</v>
      </c>
      <c r="F10" s="150" t="s">
        <v>352</v>
      </c>
      <c r="G10" s="572" t="s">
        <v>17</v>
      </c>
      <c r="H10" s="426"/>
      <c r="I10" s="453">
        <v>1000</v>
      </c>
      <c r="J10" s="573"/>
      <c r="K10" s="573"/>
      <c r="L10" s="573"/>
      <c r="M10" s="573"/>
      <c r="N10" s="151" t="str">
        <f>IF(I10&gt;E10,"AADT out of range","AADT OK")</f>
        <v>AADT OK</v>
      </c>
      <c r="O10" s="31"/>
      <c r="P10" s="78"/>
      <c r="AB10" s="10"/>
      <c r="AC10" s="10"/>
      <c r="AD10" s="10"/>
      <c r="AE10" s="31"/>
      <c r="AL10" s="31"/>
      <c r="AM10" s="65"/>
      <c r="AN10" s="44"/>
      <c r="AO10" s="64"/>
      <c r="AP10" s="25"/>
      <c r="AQ10" s="103"/>
      <c r="AR10" s="103"/>
      <c r="AS10" s="107"/>
      <c r="AT10" s="107"/>
      <c r="AV10" s="31"/>
      <c r="AW10" s="99"/>
      <c r="AX10" s="31"/>
      <c r="AY10" s="31"/>
      <c r="AZ10" s="31"/>
      <c r="BA10" s="31"/>
      <c r="BB10" s="31"/>
      <c r="BC10" s="31"/>
      <c r="BD10" s="31"/>
      <c r="BE10" s="31"/>
      <c r="BF10" s="31"/>
      <c r="BG10" s="31"/>
    </row>
    <row r="11" spans="1:59" ht="16.5" thickBot="1" x14ac:dyDescent="0.35">
      <c r="A11" s="559" t="s">
        <v>94</v>
      </c>
      <c r="B11" s="560"/>
      <c r="C11" s="574"/>
      <c r="D11" s="148" t="s">
        <v>351</v>
      </c>
      <c r="E11" s="149">
        <f>IF($I$9="3ST",23000,IF($I$9="4ST",7400,18500))</f>
        <v>23000</v>
      </c>
      <c r="F11" s="150" t="s">
        <v>352</v>
      </c>
      <c r="G11" s="572" t="s">
        <v>17</v>
      </c>
      <c r="H11" s="426"/>
      <c r="I11" s="453">
        <v>500</v>
      </c>
      <c r="J11" s="573"/>
      <c r="K11" s="573"/>
      <c r="L11" s="573"/>
      <c r="M11" s="573"/>
      <c r="N11" s="151" t="str">
        <f>IF(I11&gt;E11,"AADT out of range","AADT OK")</f>
        <v>AADT OK</v>
      </c>
      <c r="O11" s="31"/>
      <c r="P11" s="78"/>
      <c r="AB11" s="10"/>
      <c r="AC11" s="10"/>
      <c r="AD11" s="10"/>
      <c r="AE11" s="31"/>
      <c r="AL11" s="31"/>
      <c r="AM11" s="44"/>
      <c r="AN11" s="44"/>
      <c r="AO11" s="25"/>
      <c r="AP11" s="25"/>
      <c r="AQ11" s="103"/>
      <c r="AR11" s="103"/>
      <c r="AS11" s="103"/>
      <c r="AT11" s="103"/>
      <c r="AV11" s="31"/>
      <c r="AW11" s="31"/>
      <c r="AX11" s="31"/>
      <c r="AY11" s="31"/>
      <c r="AZ11" s="31"/>
      <c r="BA11" s="31"/>
      <c r="BB11" s="31"/>
      <c r="BC11" s="31"/>
      <c r="BD11" s="31"/>
      <c r="BE11" s="31"/>
      <c r="BF11" s="31"/>
      <c r="BG11" s="31"/>
    </row>
    <row r="12" spans="1:59" x14ac:dyDescent="0.2">
      <c r="A12" s="559" t="s">
        <v>95</v>
      </c>
      <c r="B12" s="560"/>
      <c r="C12" s="560"/>
      <c r="D12" s="560"/>
      <c r="E12" s="560"/>
      <c r="F12" s="426"/>
      <c r="G12" s="480">
        <v>0</v>
      </c>
      <c r="H12" s="426"/>
      <c r="I12" s="453">
        <v>0</v>
      </c>
      <c r="J12" s="454"/>
      <c r="K12" s="454"/>
      <c r="L12" s="454"/>
      <c r="M12" s="454"/>
      <c r="O12" s="154" t="s">
        <v>355</v>
      </c>
      <c r="P12" s="78"/>
      <c r="AB12" s="10"/>
      <c r="AC12" s="10"/>
      <c r="AD12" s="10"/>
      <c r="AE12" s="31"/>
      <c r="AL12" s="31"/>
      <c r="AM12" s="44"/>
      <c r="AN12" s="44"/>
      <c r="AO12" s="64"/>
      <c r="AP12" s="30"/>
      <c r="AQ12" s="30"/>
      <c r="AR12" s="30"/>
      <c r="AS12" s="30"/>
      <c r="AT12" s="30"/>
      <c r="AV12" s="31"/>
      <c r="AW12" s="31"/>
      <c r="AX12" s="31"/>
      <c r="AY12" s="31"/>
      <c r="AZ12" s="31"/>
      <c r="BA12" s="31"/>
      <c r="BB12" s="31"/>
      <c r="BC12" s="31"/>
      <c r="BD12" s="31"/>
      <c r="BE12" s="31"/>
      <c r="BF12" s="31"/>
      <c r="BG12" s="31"/>
    </row>
    <row r="13" spans="1:59" x14ac:dyDescent="0.2">
      <c r="A13" s="559" t="s">
        <v>234</v>
      </c>
      <c r="B13" s="560"/>
      <c r="C13" s="560"/>
      <c r="D13" s="560"/>
      <c r="E13" s="560"/>
      <c r="F13" s="426"/>
      <c r="G13" s="571">
        <v>0</v>
      </c>
      <c r="H13" s="426"/>
      <c r="I13" s="562">
        <v>0</v>
      </c>
      <c r="J13" s="563"/>
      <c r="K13" s="563"/>
      <c r="L13" s="563"/>
      <c r="M13" s="563"/>
      <c r="O13" s="31"/>
      <c r="P13" s="78"/>
      <c r="AB13" s="10"/>
      <c r="AC13" s="10"/>
      <c r="AD13" s="10"/>
      <c r="AE13" s="31"/>
      <c r="AL13" s="31"/>
      <c r="AM13" s="97"/>
      <c r="AN13" s="97"/>
      <c r="AO13" s="90"/>
      <c r="AP13" s="90"/>
      <c r="AQ13" s="90"/>
      <c r="AR13" s="90"/>
      <c r="AS13" s="90"/>
      <c r="AT13" s="90"/>
      <c r="AV13" s="31"/>
      <c r="AW13" s="31"/>
      <c r="AX13" s="31"/>
      <c r="AY13" s="31"/>
      <c r="AZ13" s="31"/>
      <c r="BA13" s="31"/>
      <c r="BB13" s="31"/>
      <c r="BC13" s="31"/>
      <c r="BD13" s="31"/>
      <c r="BE13" s="31"/>
      <c r="BF13" s="31"/>
      <c r="BG13" s="31"/>
    </row>
    <row r="14" spans="1:59" x14ac:dyDescent="0.2">
      <c r="A14" s="559" t="s">
        <v>305</v>
      </c>
      <c r="B14" s="560"/>
      <c r="C14" s="560"/>
      <c r="D14" s="560"/>
      <c r="E14" s="560"/>
      <c r="F14" s="426"/>
      <c r="G14" s="480">
        <v>0</v>
      </c>
      <c r="H14" s="426"/>
      <c r="I14" s="570">
        <v>0</v>
      </c>
      <c r="J14" s="563"/>
      <c r="K14" s="563"/>
      <c r="L14" s="563"/>
      <c r="M14" s="563"/>
      <c r="O14" s="31"/>
      <c r="P14" s="78"/>
      <c r="AB14" s="10"/>
      <c r="AC14" s="10"/>
      <c r="AD14" s="10"/>
      <c r="AE14" s="31"/>
      <c r="AL14" s="31"/>
      <c r="AM14" s="90"/>
      <c r="AN14" s="90"/>
      <c r="AO14" s="90"/>
      <c r="AP14" s="90"/>
      <c r="AQ14" s="90"/>
      <c r="AR14" s="90"/>
      <c r="AS14" s="90"/>
      <c r="AT14" s="90"/>
      <c r="AV14" s="31"/>
      <c r="AW14" s="33"/>
      <c r="AX14" s="31"/>
      <c r="AY14" s="31"/>
      <c r="AZ14" s="31"/>
      <c r="BA14" s="30"/>
      <c r="BB14" s="31"/>
      <c r="BC14" s="31"/>
      <c r="BD14" s="31"/>
      <c r="BE14" s="31"/>
      <c r="BF14" s="31"/>
      <c r="BG14" s="31"/>
    </row>
    <row r="15" spans="1:59" x14ac:dyDescent="0.2">
      <c r="A15" s="559" t="s">
        <v>96</v>
      </c>
      <c r="B15" s="560"/>
      <c r="C15" s="560"/>
      <c r="D15" s="560"/>
      <c r="E15" s="560"/>
      <c r="F15" s="426"/>
      <c r="G15" s="561" t="s">
        <v>72</v>
      </c>
      <c r="H15" s="426"/>
      <c r="I15" s="562" t="s">
        <v>72</v>
      </c>
      <c r="J15" s="563"/>
      <c r="K15" s="563"/>
      <c r="L15" s="563"/>
      <c r="M15" s="563"/>
      <c r="O15" s="31"/>
      <c r="P15" s="78"/>
      <c r="AB15" s="10"/>
      <c r="AC15" s="10"/>
      <c r="AD15" s="10"/>
      <c r="AE15" s="31"/>
      <c r="AL15" s="31"/>
      <c r="AM15" s="90"/>
      <c r="AN15" s="97"/>
      <c r="AO15" s="90"/>
      <c r="AP15" s="90"/>
      <c r="AQ15" s="90"/>
      <c r="AR15" s="90"/>
      <c r="AS15" s="90"/>
      <c r="AT15" s="90"/>
      <c r="AV15" s="31"/>
      <c r="AW15" s="31"/>
      <c r="AX15" s="31"/>
      <c r="AY15" s="31"/>
      <c r="AZ15" s="31"/>
      <c r="BA15" s="31"/>
      <c r="BB15" s="31"/>
      <c r="BC15" s="31"/>
      <c r="BD15" s="31"/>
      <c r="BE15" s="31"/>
      <c r="BF15" s="31"/>
      <c r="BG15" s="31"/>
    </row>
    <row r="16" spans="1:59" ht="16.5" thickBot="1" x14ac:dyDescent="0.35">
      <c r="A16" s="552" t="s">
        <v>97</v>
      </c>
      <c r="B16" s="553"/>
      <c r="C16" s="553"/>
      <c r="D16" s="553"/>
      <c r="E16" s="553"/>
      <c r="F16" s="554"/>
      <c r="G16" s="555">
        <v>1</v>
      </c>
      <c r="H16" s="556"/>
      <c r="I16" s="557">
        <v>1</v>
      </c>
      <c r="J16" s="558"/>
      <c r="K16" s="558"/>
      <c r="L16" s="558"/>
      <c r="M16" s="558"/>
      <c r="O16" s="31"/>
      <c r="P16" s="76"/>
      <c r="AB16" s="10"/>
      <c r="AC16" s="10"/>
      <c r="AD16" s="10"/>
      <c r="AE16" s="31"/>
      <c r="AL16" s="31"/>
      <c r="AM16" s="90"/>
      <c r="AN16" s="90"/>
      <c r="AO16" s="90"/>
      <c r="AP16" s="90"/>
      <c r="AQ16" s="90"/>
      <c r="AR16" s="90"/>
      <c r="AS16" s="90"/>
      <c r="AT16" s="90"/>
      <c r="AV16" s="31"/>
      <c r="AW16" s="33"/>
      <c r="AX16" s="31"/>
      <c r="AY16" s="31"/>
      <c r="AZ16" s="31"/>
      <c r="BA16" s="30"/>
      <c r="BB16" s="31"/>
      <c r="BC16" s="31"/>
      <c r="BD16" s="31"/>
      <c r="BE16" s="31"/>
      <c r="BF16" s="31"/>
      <c r="BG16" s="31"/>
    </row>
    <row r="17" spans="1:59" ht="13.5" thickTop="1" x14ac:dyDescent="0.2">
      <c r="A17" s="23"/>
      <c r="B17" s="23"/>
      <c r="C17" s="23"/>
      <c r="D17" s="23"/>
      <c r="E17" s="23"/>
      <c r="F17" s="23"/>
      <c r="G17" s="34"/>
      <c r="H17" s="35"/>
      <c r="I17" s="36"/>
      <c r="J17" s="37"/>
      <c r="K17" s="37"/>
      <c r="L17" s="37"/>
      <c r="M17" s="37"/>
      <c r="O17" s="31"/>
      <c r="P17" s="75"/>
      <c r="AB17" s="10"/>
      <c r="AC17" s="10"/>
      <c r="AD17" s="10"/>
      <c r="AE17" s="31"/>
      <c r="AF17" s="31"/>
      <c r="AG17" s="31"/>
      <c r="AH17" s="31"/>
      <c r="AI17" s="31"/>
      <c r="AJ17" s="31"/>
      <c r="AK17" s="31"/>
      <c r="AL17" s="31"/>
      <c r="AM17" s="31"/>
      <c r="AN17" s="31"/>
      <c r="AO17" s="31"/>
      <c r="AP17" s="31"/>
      <c r="AQ17" s="31"/>
      <c r="AR17" s="31"/>
      <c r="AS17" s="31"/>
      <c r="AT17" s="31"/>
      <c r="AV17" s="31"/>
      <c r="AW17" s="31"/>
      <c r="AX17" s="31"/>
      <c r="AY17" s="31"/>
      <c r="AZ17" s="31"/>
      <c r="BA17" s="31"/>
      <c r="BB17" s="31"/>
      <c r="BC17" s="31"/>
      <c r="BD17" s="31"/>
      <c r="BE17" s="31"/>
      <c r="BF17" s="31"/>
      <c r="BG17" s="31"/>
    </row>
    <row r="18" spans="1:59" ht="13.5" thickBot="1" x14ac:dyDescent="0.25">
      <c r="A18" s="31"/>
      <c r="B18" s="31"/>
      <c r="C18" s="31"/>
      <c r="D18" s="31"/>
      <c r="E18" s="31"/>
      <c r="F18" s="31"/>
      <c r="G18" s="25"/>
      <c r="H18" s="31"/>
      <c r="I18" s="25"/>
      <c r="J18" s="31"/>
      <c r="K18" s="31"/>
      <c r="L18" s="31"/>
      <c r="M18" s="31"/>
      <c r="O18" s="31"/>
      <c r="P18" s="74"/>
      <c r="AB18" s="25"/>
      <c r="AC18" s="25"/>
      <c r="AD18" s="25"/>
      <c r="AE18" s="25"/>
      <c r="AF18" s="25"/>
      <c r="AG18" s="25"/>
      <c r="AH18" s="25"/>
      <c r="AI18" s="25"/>
      <c r="AJ18" s="25"/>
      <c r="AK18" s="31"/>
      <c r="AL18" s="31"/>
      <c r="AM18" s="54"/>
      <c r="AN18" s="54"/>
      <c r="AO18" s="54"/>
      <c r="AP18" s="54"/>
      <c r="AQ18" s="54"/>
      <c r="AR18" s="25"/>
      <c r="AS18" s="25"/>
      <c r="AT18" s="25"/>
      <c r="AV18" s="31"/>
      <c r="AW18" s="31"/>
      <c r="AX18" s="31"/>
      <c r="AY18" s="31"/>
      <c r="AZ18" s="31"/>
      <c r="BA18" s="31"/>
      <c r="BB18" s="31"/>
      <c r="BC18" s="31"/>
      <c r="BD18" s="31"/>
      <c r="BE18" s="31"/>
      <c r="BF18" s="31"/>
      <c r="BG18" s="31"/>
    </row>
    <row r="19" spans="1:59" ht="14.25" thickTop="1" thickBot="1" x14ac:dyDescent="0.25">
      <c r="A19" s="372" t="s">
        <v>214</v>
      </c>
      <c r="B19" s="373"/>
      <c r="C19" s="373"/>
      <c r="D19" s="373"/>
      <c r="E19" s="373"/>
      <c r="F19" s="373"/>
      <c r="G19" s="373"/>
      <c r="H19" s="373"/>
      <c r="I19" s="373"/>
      <c r="J19" s="373"/>
      <c r="K19" s="373"/>
      <c r="L19" s="373"/>
      <c r="M19" s="373"/>
      <c r="O19" s="31"/>
      <c r="P19" s="54"/>
      <c r="AB19" s="25"/>
      <c r="AC19" s="25"/>
      <c r="AD19" s="25"/>
      <c r="AE19" s="25"/>
      <c r="AF19" s="25"/>
      <c r="AG19" s="25"/>
      <c r="AH19" s="25"/>
      <c r="AI19" s="25"/>
      <c r="AJ19" s="25"/>
      <c r="AK19" s="31"/>
      <c r="AL19" s="31"/>
      <c r="AM19" s="54"/>
      <c r="AN19" s="54"/>
      <c r="AO19" s="54"/>
      <c r="AP19" s="54"/>
      <c r="AQ19" s="54"/>
      <c r="AR19" s="25"/>
      <c r="AS19" s="25"/>
      <c r="AT19" s="25"/>
      <c r="AV19" s="31"/>
      <c r="AW19" s="31"/>
      <c r="AX19" s="31"/>
      <c r="AY19" s="31"/>
      <c r="AZ19" s="31"/>
      <c r="BA19" s="31"/>
      <c r="BB19" s="31"/>
      <c r="BC19" s="31"/>
      <c r="BD19" s="31"/>
      <c r="BE19" s="31"/>
      <c r="BF19" s="31"/>
      <c r="BG19" s="31"/>
    </row>
    <row r="20" spans="1:59" x14ac:dyDescent="0.2">
      <c r="A20" s="564" t="s">
        <v>19</v>
      </c>
      <c r="B20" s="565"/>
      <c r="C20" s="522" t="s">
        <v>20</v>
      </c>
      <c r="D20" s="465"/>
      <c r="E20" s="523"/>
      <c r="F20" s="494" t="s">
        <v>21</v>
      </c>
      <c r="G20" s="495"/>
      <c r="H20" s="522" t="s">
        <v>22</v>
      </c>
      <c r="I20" s="523"/>
      <c r="J20" s="522" t="s">
        <v>23</v>
      </c>
      <c r="K20" s="523"/>
      <c r="L20" s="494" t="s">
        <v>24</v>
      </c>
      <c r="M20" s="496"/>
      <c r="O20" s="31"/>
      <c r="P20" s="56"/>
      <c r="AB20" s="74"/>
      <c r="AC20" s="74"/>
      <c r="AD20" s="74"/>
      <c r="AE20" s="74"/>
      <c r="AF20" s="74"/>
      <c r="AG20" s="74"/>
      <c r="AH20" s="74"/>
      <c r="AI20" s="74"/>
      <c r="AJ20" s="74"/>
      <c r="AK20" s="31"/>
      <c r="AL20" s="31"/>
      <c r="AM20" s="54"/>
      <c r="AN20" s="54"/>
      <c r="AO20" s="54"/>
      <c r="AP20" s="25"/>
      <c r="AQ20" s="54"/>
      <c r="AR20" s="25"/>
      <c r="AS20" s="25"/>
      <c r="AT20" s="25"/>
      <c r="AV20" s="31"/>
      <c r="AW20" s="31"/>
      <c r="AX20" s="31"/>
      <c r="AY20" s="31"/>
      <c r="AZ20" s="31"/>
      <c r="BA20" s="31"/>
      <c r="BB20" s="31"/>
      <c r="BC20" s="31"/>
      <c r="BD20" s="31"/>
      <c r="BE20" s="31"/>
      <c r="BF20" s="31"/>
      <c r="BG20" s="31"/>
    </row>
    <row r="21" spans="1:59" ht="15.75" x14ac:dyDescent="0.3">
      <c r="A21" s="534" t="s">
        <v>36</v>
      </c>
      <c r="B21" s="535"/>
      <c r="C21" s="469" t="s">
        <v>216</v>
      </c>
      <c r="D21" s="524"/>
      <c r="E21" s="525"/>
      <c r="F21" s="466" t="s">
        <v>105</v>
      </c>
      <c r="G21" s="467"/>
      <c r="H21" s="469" t="s">
        <v>106</v>
      </c>
      <c r="I21" s="470"/>
      <c r="J21" s="469" t="s">
        <v>33</v>
      </c>
      <c r="K21" s="470"/>
      <c r="L21" s="460" t="s">
        <v>303</v>
      </c>
      <c r="M21" s="461"/>
      <c r="O21" s="31"/>
      <c r="P21" s="31"/>
      <c r="AB21" s="52"/>
      <c r="AC21" s="52"/>
      <c r="AD21" s="52"/>
      <c r="AE21" s="52"/>
      <c r="AF21" s="52"/>
      <c r="AG21" s="52"/>
      <c r="AH21" s="52"/>
      <c r="AI21" s="52"/>
      <c r="AJ21" s="52"/>
      <c r="AK21" s="31"/>
      <c r="AL21" s="31"/>
      <c r="AM21" s="54"/>
      <c r="AN21" s="54"/>
      <c r="AO21" s="25"/>
      <c r="AP21" s="25"/>
      <c r="AQ21" s="25"/>
      <c r="AR21" s="25"/>
      <c r="AS21" s="25"/>
      <c r="AT21" s="25"/>
      <c r="AV21" s="31"/>
      <c r="AW21" s="31"/>
      <c r="AX21" s="31"/>
      <c r="AY21" s="31"/>
      <c r="AZ21" s="31"/>
      <c r="BA21" s="31"/>
      <c r="BB21" s="31"/>
      <c r="BC21" s="31"/>
      <c r="BD21" s="31"/>
      <c r="BE21" s="31"/>
      <c r="BF21" s="31"/>
      <c r="BG21" s="31"/>
    </row>
    <row r="22" spans="1:59" ht="15.75" x14ac:dyDescent="0.3">
      <c r="A22" s="463"/>
      <c r="B22" s="528"/>
      <c r="C22" s="460" t="s">
        <v>217</v>
      </c>
      <c r="D22" s="461"/>
      <c r="E22" s="526"/>
      <c r="F22" s="466" t="s">
        <v>300</v>
      </c>
      <c r="G22" s="467"/>
      <c r="H22" s="469" t="s">
        <v>301</v>
      </c>
      <c r="I22" s="470"/>
      <c r="J22" s="469" t="s">
        <v>302</v>
      </c>
      <c r="K22" s="470"/>
      <c r="L22" s="462"/>
      <c r="M22" s="463"/>
      <c r="O22" s="31"/>
      <c r="P22" s="31"/>
      <c r="AB22" s="52"/>
      <c r="AC22" s="52"/>
      <c r="AD22" s="52"/>
      <c r="AE22" s="52"/>
      <c r="AF22" s="52"/>
      <c r="AG22" s="52"/>
      <c r="AH22" s="52"/>
      <c r="AI22" s="52"/>
      <c r="AJ22" s="52"/>
      <c r="AK22" s="31"/>
      <c r="AL22" s="31"/>
      <c r="AM22" s="25"/>
      <c r="AN22" s="25"/>
      <c r="AO22" s="25"/>
      <c r="AP22" s="25"/>
      <c r="AQ22" s="105"/>
      <c r="AR22" s="105"/>
      <c r="AS22" s="105"/>
      <c r="AT22" s="105"/>
      <c r="AV22" s="31"/>
      <c r="AW22" s="31"/>
      <c r="AX22" s="31"/>
      <c r="AY22" s="31"/>
      <c r="AZ22" s="31"/>
      <c r="BA22" s="31"/>
      <c r="BB22" s="31"/>
      <c r="BC22" s="31"/>
      <c r="BD22" s="31"/>
      <c r="BE22" s="31"/>
      <c r="BF22" s="31"/>
      <c r="BG22" s="31"/>
    </row>
    <row r="23" spans="1:59" x14ac:dyDescent="0.2">
      <c r="A23" s="536"/>
      <c r="B23" s="537"/>
      <c r="C23" s="462"/>
      <c r="D23" s="527"/>
      <c r="E23" s="528"/>
      <c r="F23" s="466" t="s">
        <v>346</v>
      </c>
      <c r="G23" s="467"/>
      <c r="H23" s="469" t="s">
        <v>347</v>
      </c>
      <c r="I23" s="470"/>
      <c r="J23" s="469" t="s">
        <v>304</v>
      </c>
      <c r="K23" s="470"/>
      <c r="L23" s="532" t="s">
        <v>215</v>
      </c>
      <c r="M23" s="533"/>
      <c r="O23" s="31"/>
      <c r="P23" s="31"/>
      <c r="AB23" s="79"/>
      <c r="AC23" s="79"/>
      <c r="AD23" s="79"/>
      <c r="AE23" s="79"/>
      <c r="AF23" s="79"/>
      <c r="AG23" s="79"/>
      <c r="AH23" s="79"/>
      <c r="AI23" s="79"/>
      <c r="AJ23" s="79"/>
      <c r="AK23" s="31"/>
      <c r="AL23" s="31"/>
      <c r="AM23" s="25"/>
      <c r="AN23" s="25"/>
      <c r="AO23" s="25"/>
      <c r="AP23" s="25"/>
      <c r="AQ23" s="106"/>
      <c r="AR23" s="106"/>
      <c r="AS23" s="106"/>
      <c r="AT23" s="106"/>
    </row>
    <row r="24" spans="1:59" x14ac:dyDescent="0.2">
      <c r="A24" s="539" t="s">
        <v>39</v>
      </c>
      <c r="B24" s="540"/>
      <c r="C24" s="468">
        <f>IF($I$9="4SG","--",IF($I$9="3ST",(((0.016*$I$12)/(0.98+0.016*$I$12))+1),(((0.053*$I$12)/(1.43+0.053*$I$12))+1)))</f>
        <v>1</v>
      </c>
      <c r="D24" s="538"/>
      <c r="E24" s="538"/>
      <c r="F24" s="468">
        <f>IF($I$9="4SG","--",IF($I$13=0,1,IF($I$9="3ST",0.56,(IF($I$13=1,0.72,0.52)))))</f>
        <v>1</v>
      </c>
      <c r="G24" s="468"/>
      <c r="H24" s="468">
        <f>IF($I$9="4SG","--",IF($I$14=0,1,IF($I$9="3ST",0.86,(IF($I$14=1,0.86,0.74)))))</f>
        <v>1</v>
      </c>
      <c r="I24" s="468"/>
      <c r="J24" s="468">
        <f>IF($I$9="4SG","--",(IF(($I$15="Not Present"),1,(1-0.38*(IF($I$9="3ST",(IF('Reference Tables (Intersection)'!D40="No",'Reference Tables (Intersection)'!G44,'Reference Tables (Intersection)'!K44)),(IF('Reference Tables (Intersection)'!D40="No",'Reference Tables (Intersection)'!G45,'Reference Tables (Intersection)'!K45))))))))</f>
        <v>1</v>
      </c>
      <c r="K24" s="521"/>
      <c r="L24" s="468">
        <f>IF($I$9="4SG",1,C24*F24*H24*J24)</f>
        <v>1</v>
      </c>
      <c r="M24" s="531"/>
      <c r="O24" s="31"/>
      <c r="P24" s="57"/>
      <c r="AB24" s="80"/>
      <c r="AC24" s="80"/>
      <c r="AD24" s="80"/>
      <c r="AE24" s="80"/>
      <c r="AF24" s="80"/>
      <c r="AG24" s="80"/>
      <c r="AH24" s="80"/>
      <c r="AI24" s="80"/>
      <c r="AJ24" s="80"/>
      <c r="AK24" s="31"/>
      <c r="AL24" s="31"/>
      <c r="AM24" s="48"/>
      <c r="AN24" s="25"/>
      <c r="AO24" s="64"/>
      <c r="AP24" s="25"/>
      <c r="AQ24" s="103"/>
      <c r="AR24" s="103"/>
      <c r="AS24" s="107"/>
      <c r="AT24" s="107"/>
    </row>
    <row r="25" spans="1:59" ht="13.5" thickBot="1" x14ac:dyDescent="0.25">
      <c r="A25" s="431" t="s">
        <v>40</v>
      </c>
      <c r="B25" s="432"/>
      <c r="C25" s="433">
        <f>IF($I$9="4SG","--",IF($I$9="3ST",(((0.017*$I$12)/(0.52+0.017*$I$12))+1),(((0.048*$I$12)/(0.72+0.048*$I$12))+1)))</f>
        <v>1</v>
      </c>
      <c r="D25" s="434"/>
      <c r="E25" s="434"/>
      <c r="F25" s="433">
        <f>IF($I$9="4SG","--",IF($I$13=0,1,IF($I$9="3ST",0.45,(IF($I$13=1,0.65,0.42)))))</f>
        <v>1</v>
      </c>
      <c r="G25" s="433"/>
      <c r="H25" s="433">
        <f>IF($I$9="4SG","--",IF($I$14=0,1,IF($I$9="3ST",0.77,(IF($I$14=1,0.77,0.59)))))</f>
        <v>1</v>
      </c>
      <c r="I25" s="433"/>
      <c r="J25" s="433">
        <f>IF($I$9="4SG","--",(IF(($I$15="Not Present"),1,(1-0.38*(IF($I$9="3ST",(IF('Reference Tables (Intersection)'!$D$40="No",'Reference Tables (Intersection)'!$G$44,'Reference Tables (Intersection)'!$K$44)),(IF('Reference Tables (Intersection)'!$D$40="No",'Reference Tables (Intersection)'!$G$45,'Reference Tables (Intersection)'!$K$45))))))))</f>
        <v>1</v>
      </c>
      <c r="K25" s="439"/>
      <c r="L25" s="433">
        <f>IF($I$9="4SG",1,C25*F25*H25*J25)</f>
        <v>1</v>
      </c>
      <c r="M25" s="471"/>
      <c r="O25" s="31"/>
      <c r="P25" s="54"/>
      <c r="AB25" s="54"/>
      <c r="AC25" s="25"/>
      <c r="AD25" s="25"/>
      <c r="AE25" s="25"/>
      <c r="AF25" s="25"/>
      <c r="AG25" s="25"/>
      <c r="AH25" s="25"/>
      <c r="AI25" s="25"/>
      <c r="AJ25" s="25"/>
      <c r="AK25" s="31"/>
      <c r="AL25" s="31"/>
      <c r="AM25" s="25"/>
      <c r="AN25" s="25"/>
      <c r="AO25" s="25"/>
      <c r="AP25" s="25"/>
      <c r="AQ25" s="103"/>
      <c r="AR25" s="103"/>
      <c r="AS25" s="103"/>
      <c r="AT25" s="103"/>
    </row>
    <row r="26" spans="1:59" x14ac:dyDescent="0.2">
      <c r="A26" s="529" t="s">
        <v>321</v>
      </c>
      <c r="B26" s="530"/>
      <c r="C26" s="530"/>
      <c r="D26" s="530"/>
      <c r="E26" s="530"/>
      <c r="F26" s="530"/>
      <c r="G26" s="530"/>
      <c r="H26" s="530"/>
      <c r="I26" s="530"/>
      <c r="J26" s="530"/>
      <c r="K26" s="530"/>
      <c r="L26" s="530"/>
      <c r="M26" s="530"/>
      <c r="O26" s="31"/>
      <c r="P26" s="54"/>
      <c r="AB26" s="54"/>
      <c r="AC26" s="25"/>
      <c r="AD26" s="25"/>
      <c r="AE26" s="25"/>
      <c r="AF26" s="25"/>
      <c r="AG26" s="25"/>
      <c r="AH26" s="25"/>
      <c r="AI26" s="25"/>
      <c r="AJ26" s="25"/>
      <c r="AK26" s="31"/>
      <c r="AL26" s="31"/>
      <c r="AM26" s="25"/>
      <c r="AN26" s="25"/>
      <c r="AO26" s="25"/>
      <c r="AP26" s="25"/>
      <c r="AQ26" s="103"/>
      <c r="AR26" s="103"/>
      <c r="AS26" s="103"/>
      <c r="AT26" s="103"/>
    </row>
    <row r="27" spans="1:59" x14ac:dyDescent="0.2">
      <c r="A27" s="30"/>
      <c r="B27" s="30"/>
      <c r="C27" s="30"/>
      <c r="D27" s="30"/>
      <c r="E27" s="30"/>
      <c r="F27" s="30"/>
      <c r="G27" s="30"/>
      <c r="H27" s="31"/>
      <c r="I27" s="30"/>
      <c r="J27" s="39"/>
      <c r="K27" s="39"/>
      <c r="L27" s="31"/>
      <c r="M27" s="31"/>
      <c r="O27" s="31"/>
      <c r="P27" s="54"/>
      <c r="AB27" s="54"/>
      <c r="AC27" s="25"/>
      <c r="AD27" s="25"/>
      <c r="AE27" s="25"/>
      <c r="AF27" s="25"/>
      <c r="AG27" s="25"/>
      <c r="AH27" s="25"/>
      <c r="AI27" s="25"/>
      <c r="AJ27" s="25"/>
      <c r="AK27" s="31"/>
      <c r="AL27" s="31"/>
      <c r="AM27" s="25"/>
      <c r="AN27" s="25"/>
      <c r="AO27" s="25"/>
      <c r="AP27" s="25"/>
      <c r="AQ27" s="103"/>
      <c r="AR27" s="103"/>
      <c r="AS27" s="103"/>
      <c r="AT27" s="103"/>
    </row>
    <row r="28" spans="1:59" ht="13.5" thickBot="1" x14ac:dyDescent="0.25">
      <c r="A28" s="33"/>
      <c r="B28" s="31"/>
      <c r="C28" s="31"/>
      <c r="D28" s="31"/>
      <c r="E28" s="31"/>
      <c r="F28" s="31"/>
      <c r="G28" s="30"/>
      <c r="H28" s="39"/>
      <c r="I28" s="30"/>
      <c r="J28" s="31"/>
      <c r="K28" s="31"/>
      <c r="L28" s="31"/>
      <c r="M28" s="31"/>
      <c r="O28" s="31"/>
      <c r="P28" s="75"/>
      <c r="AB28" s="10"/>
      <c r="AC28" s="10"/>
      <c r="AD28" s="10"/>
      <c r="AE28" s="10"/>
      <c r="AF28" s="10"/>
      <c r="AG28" s="10"/>
      <c r="AH28" s="10"/>
      <c r="AI28" s="10"/>
      <c r="AJ28" s="10"/>
      <c r="AK28" s="31"/>
      <c r="AL28" s="31"/>
      <c r="AM28" s="65"/>
      <c r="AN28" s="44"/>
      <c r="AO28" s="64"/>
      <c r="AP28" s="25"/>
      <c r="AQ28" s="103"/>
      <c r="AR28" s="103"/>
      <c r="AS28" s="107"/>
      <c r="AT28" s="107"/>
    </row>
    <row r="29" spans="1:59" ht="14.25" thickTop="1" thickBot="1" x14ac:dyDescent="0.25">
      <c r="A29" s="271" t="s">
        <v>218</v>
      </c>
      <c r="B29" s="328"/>
      <c r="C29" s="328"/>
      <c r="D29" s="328"/>
      <c r="E29" s="328"/>
      <c r="F29" s="328"/>
      <c r="G29" s="328"/>
      <c r="H29" s="328"/>
      <c r="I29" s="520"/>
      <c r="J29" s="520"/>
      <c r="K29" s="520"/>
      <c r="L29" s="520"/>
      <c r="M29" s="520"/>
      <c r="O29" s="31"/>
      <c r="P29" s="75"/>
      <c r="AB29" s="10"/>
      <c r="AC29" s="10"/>
      <c r="AD29" s="10"/>
      <c r="AE29" s="10"/>
      <c r="AF29" s="10"/>
      <c r="AG29" s="10"/>
      <c r="AH29" s="10"/>
      <c r="AI29" s="10"/>
      <c r="AJ29" s="10"/>
      <c r="AK29" s="31"/>
      <c r="AL29" s="31"/>
      <c r="AM29" s="44"/>
      <c r="AN29" s="44"/>
      <c r="AO29" s="25"/>
      <c r="AP29" s="25"/>
      <c r="AQ29" s="103"/>
      <c r="AR29" s="103"/>
      <c r="AS29" s="103"/>
      <c r="AT29" s="103"/>
    </row>
    <row r="30" spans="1:59" x14ac:dyDescent="0.2">
      <c r="A30" s="442" t="s">
        <v>19</v>
      </c>
      <c r="B30" s="436"/>
      <c r="C30" s="435" t="s">
        <v>20</v>
      </c>
      <c r="D30" s="435"/>
      <c r="E30" s="436"/>
      <c r="F30" s="440" t="s">
        <v>21</v>
      </c>
      <c r="G30" s="441"/>
      <c r="H30" s="518" t="s">
        <v>22</v>
      </c>
      <c r="I30" s="519"/>
      <c r="J30" s="2" t="s">
        <v>23</v>
      </c>
      <c r="K30" s="2" t="s">
        <v>24</v>
      </c>
      <c r="L30" s="464" t="s">
        <v>25</v>
      </c>
      <c r="M30" s="465"/>
      <c r="O30" s="31"/>
      <c r="P30" s="75"/>
      <c r="AB30" s="10"/>
      <c r="AC30" s="10"/>
      <c r="AD30" s="10"/>
      <c r="AE30" s="10"/>
      <c r="AF30" s="10"/>
      <c r="AG30" s="10"/>
      <c r="AH30" s="10"/>
      <c r="AI30" s="10"/>
      <c r="AJ30" s="10"/>
      <c r="AK30" s="31"/>
      <c r="AL30" s="31"/>
      <c r="AM30" s="44"/>
      <c r="AN30" s="44"/>
      <c r="AO30" s="64"/>
      <c r="AP30" s="30"/>
      <c r="AQ30" s="30"/>
      <c r="AR30" s="30"/>
      <c r="AS30" s="30"/>
      <c r="AT30" s="30"/>
    </row>
    <row r="31" spans="1:59" ht="12.75" customHeight="1" x14ac:dyDescent="0.2">
      <c r="A31" s="448" t="s">
        <v>36</v>
      </c>
      <c r="B31" s="427"/>
      <c r="C31" s="509" t="s">
        <v>145</v>
      </c>
      <c r="D31" s="510"/>
      <c r="E31" s="510"/>
      <c r="F31" s="449" t="s">
        <v>219</v>
      </c>
      <c r="G31" s="450"/>
      <c r="H31" s="481" t="s">
        <v>37</v>
      </c>
      <c r="I31" s="482"/>
      <c r="J31" s="19" t="s">
        <v>38</v>
      </c>
      <c r="K31" s="437" t="s">
        <v>222</v>
      </c>
      <c r="L31" s="472" t="s">
        <v>223</v>
      </c>
      <c r="M31" s="473"/>
      <c r="O31" s="31"/>
      <c r="P31" s="75"/>
      <c r="AB31" s="10"/>
      <c r="AC31" s="10"/>
      <c r="AD31" s="10"/>
      <c r="AE31" s="10"/>
      <c r="AF31" s="10"/>
      <c r="AG31" s="10"/>
      <c r="AH31" s="10"/>
      <c r="AI31" s="10"/>
      <c r="AJ31" s="10"/>
      <c r="AK31" s="31"/>
      <c r="AL31" s="31"/>
      <c r="AM31" s="97"/>
      <c r="AN31" s="97"/>
      <c r="AO31" s="90"/>
      <c r="AP31" s="90"/>
      <c r="AQ31" s="90"/>
      <c r="AR31" s="90"/>
      <c r="AS31" s="90"/>
      <c r="AT31" s="90"/>
    </row>
    <row r="32" spans="1:59" ht="15" customHeight="1" x14ac:dyDescent="0.2">
      <c r="A32" s="426"/>
      <c r="B32" s="427"/>
      <c r="C32" s="511" t="s">
        <v>348</v>
      </c>
      <c r="D32" s="438"/>
      <c r="E32" s="438"/>
      <c r="F32" s="451"/>
      <c r="G32" s="451"/>
      <c r="H32" s="483"/>
      <c r="I32" s="484"/>
      <c r="J32" s="512" t="s">
        <v>221</v>
      </c>
      <c r="K32" s="438"/>
      <c r="L32" s="474"/>
      <c r="M32" s="475"/>
      <c r="O32" s="31"/>
      <c r="P32" s="75"/>
      <c r="AB32" s="10"/>
      <c r="AC32" s="10"/>
      <c r="AD32" s="10"/>
      <c r="AE32" s="10"/>
      <c r="AF32" s="10"/>
      <c r="AG32" s="10"/>
      <c r="AH32" s="10"/>
      <c r="AI32" s="10"/>
      <c r="AJ32" s="10"/>
      <c r="AK32" s="31"/>
      <c r="AL32" s="31"/>
      <c r="AM32" s="38"/>
      <c r="AN32" s="90"/>
      <c r="AO32" s="90"/>
      <c r="AP32" s="90"/>
      <c r="AQ32" s="90"/>
      <c r="AR32" s="90"/>
      <c r="AS32" s="90"/>
      <c r="AT32" s="90"/>
    </row>
    <row r="33" spans="1:54" ht="13.5" customHeight="1" x14ac:dyDescent="0.2">
      <c r="A33" s="426"/>
      <c r="B33" s="427"/>
      <c r="C33" s="67" t="s">
        <v>146</v>
      </c>
      <c r="D33" s="67" t="s">
        <v>147</v>
      </c>
      <c r="E33" s="67" t="s">
        <v>237</v>
      </c>
      <c r="F33" s="356" t="s">
        <v>220</v>
      </c>
      <c r="G33" s="291"/>
      <c r="H33" s="386" t="s">
        <v>348</v>
      </c>
      <c r="I33" s="426"/>
      <c r="J33" s="457"/>
      <c r="K33" s="438"/>
      <c r="L33" s="479" t="s">
        <v>152</v>
      </c>
      <c r="M33" s="478"/>
      <c r="O33" s="31"/>
      <c r="P33" s="75"/>
      <c r="AB33" s="10"/>
      <c r="AC33" s="10"/>
      <c r="AD33" s="10"/>
      <c r="AE33" s="10"/>
      <c r="AF33" s="10"/>
      <c r="AG33" s="10"/>
      <c r="AH33" s="10"/>
      <c r="AI33" s="10"/>
      <c r="AJ33" s="10"/>
      <c r="AK33" s="31"/>
      <c r="AL33" s="31"/>
      <c r="AM33" s="108"/>
      <c r="AN33" s="97"/>
      <c r="AO33" s="90"/>
      <c r="AP33" s="90"/>
      <c r="AQ33" s="90"/>
      <c r="AR33" s="90"/>
      <c r="AS33" s="90"/>
      <c r="AT33" s="90"/>
    </row>
    <row r="34" spans="1:54" x14ac:dyDescent="0.2">
      <c r="A34" s="426" t="s">
        <v>39</v>
      </c>
      <c r="B34" s="427"/>
      <c r="C34" s="68">
        <f>IF($I$9="3ST",-12.526,(IF($I$9="4ST",-10.008,-7.182)))</f>
        <v>-12.526</v>
      </c>
      <c r="D34" s="68">
        <f>IF($I$9="3ST",1.204,(IF($I$9="4ST",0.848,0.722)))</f>
        <v>1.204</v>
      </c>
      <c r="E34" s="68">
        <f>IF($I$9="3ST",0.236,(IF($I$9="4ST",0.448,0.337)))</f>
        <v>0.23599999999999999</v>
      </c>
      <c r="F34" s="445">
        <f>EXP($C$34+$D$34*LN($I$10)+$E$34*LN($I$11))</f>
        <v>6.4414589089057658E-2</v>
      </c>
      <c r="G34" s="446"/>
      <c r="H34" s="429">
        <f>IF($I$9="3ST",0.46,(IF($I$9="4ST",0.494,0.277)))</f>
        <v>0.46</v>
      </c>
      <c r="I34" s="447"/>
      <c r="J34" s="92">
        <f>+$L$24</f>
        <v>1</v>
      </c>
      <c r="K34" s="69">
        <f>+$I$16</f>
        <v>1</v>
      </c>
      <c r="L34" s="445">
        <f>+$F$34*$J$34*$K$34</f>
        <v>6.4414589089057658E-2</v>
      </c>
      <c r="M34" s="478"/>
      <c r="O34" s="31"/>
      <c r="P34" s="75"/>
      <c r="AB34" s="10"/>
      <c r="AC34" s="10"/>
      <c r="AD34" s="10"/>
      <c r="AE34" s="10"/>
      <c r="AF34" s="10"/>
      <c r="AG34" s="10"/>
      <c r="AH34" s="10"/>
      <c r="AI34" s="10"/>
      <c r="AJ34" s="10"/>
      <c r="AK34" s="31"/>
      <c r="AL34" s="31"/>
      <c r="AM34" s="90"/>
      <c r="AN34" s="90"/>
      <c r="AO34" s="90"/>
      <c r="AP34" s="90"/>
      <c r="AQ34" s="90"/>
      <c r="AR34" s="90"/>
      <c r="AS34" s="90"/>
      <c r="AT34" s="90"/>
    </row>
    <row r="35" spans="1:54" x14ac:dyDescent="0.2">
      <c r="A35" s="426" t="s">
        <v>40</v>
      </c>
      <c r="B35" s="427"/>
      <c r="C35" s="68">
        <f>IF($I$9="3ST",-12.664,(IF($I$9="4ST",-11.554,-6.393)))</f>
        <v>-12.664</v>
      </c>
      <c r="D35" s="68">
        <f>IF($I$9="3ST",1.107,(IF($I$9="4ST",0.888,0.638)))</f>
        <v>1.107</v>
      </c>
      <c r="E35" s="68">
        <f>IF($I$9="3ST",0.272,(IF($I$9="4ST",0.525,0.232)))</f>
        <v>0.27200000000000002</v>
      </c>
      <c r="F35" s="445">
        <f>EXP($C$35+$D$35*LN($I$10)+$E$35*LN($I$11))</f>
        <v>3.5909927007548303E-2</v>
      </c>
      <c r="G35" s="446"/>
      <c r="H35" s="429">
        <f>IF($I$9="3ST",0.569,(IF($I$9="4ST",0.742,0.218)))</f>
        <v>0.56899999999999995</v>
      </c>
      <c r="I35" s="447"/>
      <c r="J35" s="92">
        <f>+$L$25</f>
        <v>1</v>
      </c>
      <c r="K35" s="69">
        <f>+$I$16</f>
        <v>1</v>
      </c>
      <c r="L35" s="445">
        <f>+$F$35*$J$35*$K$35</f>
        <v>3.5909927007548303E-2</v>
      </c>
      <c r="M35" s="478"/>
      <c r="O35" s="31"/>
      <c r="P35" s="74"/>
      <c r="AB35" s="54"/>
      <c r="AC35" s="54"/>
      <c r="AD35" s="54"/>
      <c r="AE35" s="54"/>
      <c r="AF35" s="54"/>
      <c r="AG35" s="54"/>
      <c r="AH35" s="54"/>
      <c r="AI35" s="54"/>
      <c r="AJ35" s="54"/>
      <c r="AK35" s="31"/>
      <c r="AL35" s="31"/>
      <c r="AM35" s="90"/>
      <c r="AN35" s="90"/>
      <c r="AO35" s="90"/>
      <c r="AP35" s="90"/>
      <c r="AQ35" s="90"/>
      <c r="AR35" s="90"/>
      <c r="AS35" s="90"/>
      <c r="AT35" s="90"/>
    </row>
    <row r="36" spans="1:54" ht="14.25" x14ac:dyDescent="0.2">
      <c r="A36" s="544" t="s">
        <v>153</v>
      </c>
      <c r="B36" s="427"/>
      <c r="C36" s="68">
        <f>IF($I$9="3ST",-11.989,(IF($I$9="4ST",-10.734,-12.011)))</f>
        <v>-11.989000000000001</v>
      </c>
      <c r="D36" s="68">
        <f>IF($I$9="3ST",1.013,(IF($I$9="4ST",0.828,"--")))</f>
        <v>1.0129999999999999</v>
      </c>
      <c r="E36" s="68">
        <f>IF($I$9="3ST",0.228,(IF($I$9="4ST",0.412,1.279)))</f>
        <v>0.22800000000000001</v>
      </c>
      <c r="F36" s="445">
        <f>IF(I9="4SG",(EXP(C36+E36*LN(I10+I11))),(EXP($C$36+$D$36*LN($I$10)+$E$36*LN($I$11))))</f>
        <v>2.8029065435244797E-2</v>
      </c>
      <c r="G36" s="446"/>
      <c r="H36" s="429">
        <f>IF($I$9="3ST",0.566,(IF($I$9="4ST",0.655,0.566)))</f>
        <v>0.56599999999999995</v>
      </c>
      <c r="I36" s="447"/>
      <c r="J36" s="92">
        <f>+$L$25</f>
        <v>1</v>
      </c>
      <c r="K36" s="69">
        <f>+$I$16</f>
        <v>1</v>
      </c>
      <c r="L36" s="445">
        <f>+$F$36*$J$36*$K$36</f>
        <v>2.8029065435244797E-2</v>
      </c>
      <c r="M36" s="478"/>
      <c r="O36" s="31"/>
      <c r="P36" s="75"/>
      <c r="AB36" s="10"/>
      <c r="AC36" s="10"/>
      <c r="AD36" s="10"/>
      <c r="AE36" s="10"/>
      <c r="AF36" s="10"/>
      <c r="AG36" s="10"/>
      <c r="AH36" s="10"/>
      <c r="AI36" s="10"/>
      <c r="AJ36" s="10"/>
      <c r="AK36" s="31"/>
      <c r="AL36" s="31"/>
      <c r="AM36" s="90"/>
      <c r="AN36" s="90"/>
      <c r="AO36" s="90"/>
      <c r="AP36" s="90"/>
      <c r="AQ36" s="90"/>
      <c r="AR36" s="90"/>
      <c r="AS36" s="90"/>
      <c r="AT36" s="90"/>
    </row>
    <row r="37" spans="1:54" ht="16.5" customHeight="1" x14ac:dyDescent="0.3">
      <c r="A37" s="320" t="s">
        <v>41</v>
      </c>
      <c r="B37" s="321"/>
      <c r="C37" s="316" t="s">
        <v>17</v>
      </c>
      <c r="D37" s="316" t="s">
        <v>17</v>
      </c>
      <c r="E37" s="316" t="s">
        <v>17</v>
      </c>
      <c r="F37" s="323" t="s">
        <v>17</v>
      </c>
      <c r="G37" s="324"/>
      <c r="H37" s="312" t="s">
        <v>17</v>
      </c>
      <c r="I37" s="313"/>
      <c r="J37" s="312" t="s">
        <v>17</v>
      </c>
      <c r="K37" s="316" t="s">
        <v>17</v>
      </c>
      <c r="L37" s="479" t="s">
        <v>154</v>
      </c>
      <c r="M37" s="478"/>
      <c r="O37" s="31"/>
      <c r="P37" s="75"/>
      <c r="AB37" s="77"/>
      <c r="AC37" s="10"/>
      <c r="AD37" s="10"/>
      <c r="AE37" s="10"/>
      <c r="AF37" s="10"/>
      <c r="AG37" s="10"/>
      <c r="AH37" s="10"/>
      <c r="AI37" s="10"/>
      <c r="AJ37" s="10"/>
      <c r="AK37" s="31"/>
      <c r="AL37" s="31"/>
      <c r="AM37" s="52"/>
      <c r="AN37" s="45"/>
      <c r="AO37" s="45"/>
      <c r="AP37" s="45"/>
      <c r="AQ37" s="45"/>
      <c r="AR37" s="45"/>
      <c r="AS37" s="84"/>
      <c r="AT37" s="31"/>
    </row>
    <row r="38" spans="1:54" ht="15.75" customHeight="1" thickBot="1" x14ac:dyDescent="0.25">
      <c r="A38" s="322"/>
      <c r="B38" s="268"/>
      <c r="C38" s="317"/>
      <c r="D38" s="317"/>
      <c r="E38" s="317"/>
      <c r="F38" s="325"/>
      <c r="G38" s="326"/>
      <c r="H38" s="314"/>
      <c r="I38" s="315"/>
      <c r="J38" s="314"/>
      <c r="K38" s="317"/>
      <c r="L38" s="476">
        <f>+$L$34-$L$35</f>
        <v>2.8504662081509355E-2</v>
      </c>
      <c r="M38" s="477"/>
      <c r="N38" s="22"/>
      <c r="O38" s="31"/>
      <c r="P38" s="75"/>
      <c r="AB38" s="77"/>
      <c r="AC38" s="10"/>
      <c r="AD38" s="10"/>
      <c r="AE38" s="10"/>
      <c r="AF38" s="10"/>
      <c r="AG38" s="10"/>
      <c r="AH38" s="10"/>
      <c r="AI38" s="10"/>
      <c r="AJ38" s="10"/>
      <c r="AK38" s="31"/>
      <c r="AL38" s="31"/>
      <c r="AM38" s="52"/>
      <c r="AN38" s="45"/>
      <c r="AO38" s="45"/>
      <c r="AP38" s="45"/>
      <c r="AQ38" s="45"/>
      <c r="AR38" s="45"/>
      <c r="AS38" s="84"/>
      <c r="AT38" s="31"/>
    </row>
    <row r="39" spans="1:54" x14ac:dyDescent="0.2">
      <c r="A39" s="497" t="s">
        <v>155</v>
      </c>
      <c r="B39" s="498"/>
      <c r="C39" s="498"/>
      <c r="D39" s="498"/>
      <c r="E39" s="498"/>
      <c r="F39" s="498"/>
      <c r="G39" s="498"/>
      <c r="H39" s="498"/>
      <c r="I39" s="498"/>
      <c r="J39" s="498"/>
      <c r="K39" s="498"/>
      <c r="L39" s="498"/>
      <c r="M39" s="498"/>
      <c r="N39" s="73"/>
      <c r="O39" s="31"/>
      <c r="P39" s="75"/>
      <c r="AB39" s="77"/>
      <c r="AC39" s="10"/>
      <c r="AD39" s="10"/>
      <c r="AE39" s="10"/>
      <c r="AF39" s="10"/>
      <c r="AG39" s="10"/>
      <c r="AH39" s="10"/>
      <c r="AI39" s="10"/>
      <c r="AJ39" s="10"/>
      <c r="AK39" s="31"/>
      <c r="AL39" s="31"/>
      <c r="AM39" s="52"/>
      <c r="AN39" s="45"/>
      <c r="AO39" s="45"/>
      <c r="AP39" s="45"/>
      <c r="AQ39" s="45"/>
      <c r="AR39" s="45"/>
      <c r="AS39" s="84"/>
      <c r="AT39" s="31"/>
    </row>
    <row r="40" spans="1:54" ht="13.5" customHeight="1" x14ac:dyDescent="0.2">
      <c r="A40" s="41"/>
      <c r="B40" s="41"/>
      <c r="C40" s="102"/>
      <c r="D40" s="102"/>
      <c r="E40" s="41"/>
      <c r="F40" s="41"/>
      <c r="G40" s="41"/>
      <c r="H40" s="42"/>
      <c r="I40" s="24"/>
      <c r="J40" s="41"/>
      <c r="K40" s="41"/>
      <c r="L40" s="41"/>
      <c r="M40" s="41"/>
      <c r="O40" s="31"/>
      <c r="P40" s="75"/>
      <c r="AB40" s="10"/>
      <c r="AC40" s="10"/>
      <c r="AD40" s="10"/>
      <c r="AE40" s="10"/>
      <c r="AF40" s="10"/>
      <c r="AG40" s="10"/>
      <c r="AH40" s="10"/>
      <c r="AI40" s="10"/>
      <c r="AJ40" s="10"/>
      <c r="AK40" s="31"/>
      <c r="AL40" s="31"/>
      <c r="AM40" s="45"/>
      <c r="AN40" s="45"/>
      <c r="AO40" s="45"/>
      <c r="AP40" s="45"/>
      <c r="AQ40" s="45"/>
      <c r="AR40" s="45"/>
      <c r="AS40" s="84"/>
      <c r="AT40" s="58"/>
      <c r="AU40" s="55"/>
      <c r="AV40" s="55"/>
      <c r="AW40" s="55"/>
      <c r="AX40" s="55"/>
      <c r="AY40" s="55"/>
      <c r="AZ40" s="55"/>
      <c r="BA40" s="55"/>
      <c r="BB40" s="55"/>
    </row>
    <row r="41" spans="1:54" ht="13.5" thickBot="1" x14ac:dyDescent="0.25">
      <c r="A41" s="45"/>
      <c r="B41" s="45"/>
      <c r="C41" s="45"/>
      <c r="D41" s="45"/>
      <c r="E41" s="45"/>
      <c r="F41" s="45"/>
      <c r="G41" s="45"/>
      <c r="H41" s="45"/>
      <c r="I41" s="45"/>
      <c r="J41" s="45"/>
      <c r="K41" s="45"/>
      <c r="L41" s="45"/>
      <c r="M41" s="46"/>
      <c r="O41" s="31"/>
      <c r="P41" s="75"/>
      <c r="AB41" s="10"/>
      <c r="AC41" s="10"/>
      <c r="AD41" s="10"/>
      <c r="AE41" s="10"/>
      <c r="AF41" s="10"/>
      <c r="AG41" s="10"/>
      <c r="AH41" s="10"/>
      <c r="AI41" s="10"/>
      <c r="AJ41" s="10"/>
      <c r="AK41" s="31"/>
      <c r="AL41" s="31"/>
      <c r="AM41" s="43"/>
      <c r="AN41" s="31"/>
      <c r="AO41" s="31"/>
      <c r="AP41" s="54"/>
      <c r="AQ41" s="31"/>
      <c r="AR41" s="31"/>
      <c r="AS41" s="31"/>
      <c r="AT41" s="25"/>
      <c r="AY41" s="25"/>
      <c r="AZ41" s="25"/>
      <c r="BA41" s="25"/>
      <c r="BB41" s="25"/>
    </row>
    <row r="42" spans="1:54" ht="14.25" thickTop="1" thickBot="1" x14ac:dyDescent="0.25">
      <c r="A42" s="271" t="s">
        <v>224</v>
      </c>
      <c r="B42" s="328"/>
      <c r="C42" s="328"/>
      <c r="D42" s="328"/>
      <c r="E42" s="328"/>
      <c r="F42" s="328"/>
      <c r="G42" s="328"/>
      <c r="H42" s="543"/>
      <c r="I42" s="543"/>
      <c r="J42" s="543"/>
      <c r="K42" s="543"/>
      <c r="L42" s="543"/>
      <c r="M42" s="543"/>
      <c r="O42" s="31"/>
      <c r="P42" s="75"/>
      <c r="AB42" s="10"/>
      <c r="AC42" s="10"/>
      <c r="AD42" s="10"/>
      <c r="AE42" s="10"/>
      <c r="AF42" s="10"/>
      <c r="AG42" s="10"/>
      <c r="AH42" s="10"/>
      <c r="AI42" s="10"/>
      <c r="AJ42" s="10"/>
      <c r="AK42" s="31"/>
      <c r="AL42" s="31"/>
      <c r="AM42" s="57"/>
      <c r="AN42" s="53"/>
      <c r="AO42" s="25"/>
      <c r="AP42" s="56"/>
      <c r="AQ42" s="54"/>
      <c r="AR42" s="58"/>
      <c r="AS42" s="31"/>
      <c r="AT42" s="54"/>
      <c r="AY42" s="54"/>
      <c r="AZ42" s="54"/>
      <c r="BA42" s="54"/>
      <c r="BB42" s="31"/>
    </row>
    <row r="43" spans="1:54" ht="12.75" customHeight="1" x14ac:dyDescent="0.2">
      <c r="A43" s="541" t="s">
        <v>19</v>
      </c>
      <c r="B43" s="542"/>
      <c r="C43" s="5" t="s">
        <v>20</v>
      </c>
      <c r="D43" s="518" t="s">
        <v>21</v>
      </c>
      <c r="E43" s="442"/>
      <c r="F43" s="71" t="s">
        <v>22</v>
      </c>
      <c r="G43" s="443" t="s">
        <v>23</v>
      </c>
      <c r="H43" s="444"/>
      <c r="I43" s="71" t="s">
        <v>24</v>
      </c>
      <c r="J43" s="21" t="s">
        <v>25</v>
      </c>
      <c r="K43" s="71" t="s">
        <v>26</v>
      </c>
      <c r="L43" s="458" t="s">
        <v>27</v>
      </c>
      <c r="M43" s="459"/>
      <c r="O43" s="31"/>
      <c r="P43" s="75"/>
      <c r="AB43" s="10"/>
      <c r="AC43" s="10"/>
      <c r="AD43" s="10"/>
      <c r="AE43" s="10"/>
      <c r="AF43" s="10"/>
      <c r="AG43" s="10"/>
      <c r="AH43" s="10"/>
      <c r="AI43" s="10"/>
      <c r="AJ43" s="10"/>
      <c r="AK43" s="31"/>
      <c r="AL43" s="31"/>
      <c r="AM43" s="48"/>
      <c r="AN43" s="25"/>
      <c r="AO43" s="31"/>
      <c r="AP43" s="59"/>
      <c r="AQ43" s="25"/>
      <c r="AR43" s="59"/>
      <c r="AS43" s="59"/>
      <c r="AT43" s="31"/>
      <c r="AY43" s="54"/>
      <c r="AZ43" s="54"/>
      <c r="BA43" s="54"/>
      <c r="BB43" s="31"/>
    </row>
    <row r="44" spans="1:54" ht="13.5" customHeight="1" x14ac:dyDescent="0.2">
      <c r="A44" s="448" t="s">
        <v>42</v>
      </c>
      <c r="B44" s="437"/>
      <c r="C44" s="437" t="s">
        <v>44</v>
      </c>
      <c r="D44" s="437" t="s">
        <v>109</v>
      </c>
      <c r="E44" s="427"/>
      <c r="F44" s="437" t="s">
        <v>43</v>
      </c>
      <c r="G44" s="437" t="s">
        <v>110</v>
      </c>
      <c r="H44" s="437"/>
      <c r="I44" s="437" t="s">
        <v>161</v>
      </c>
      <c r="J44" s="455" t="s">
        <v>227</v>
      </c>
      <c r="K44" s="437" t="s">
        <v>162</v>
      </c>
      <c r="L44" s="437" t="s">
        <v>229</v>
      </c>
      <c r="M44" s="551"/>
      <c r="O44" s="31"/>
      <c r="P44" s="75"/>
      <c r="AB44" s="10"/>
      <c r="AC44" s="10"/>
      <c r="AD44" s="10"/>
      <c r="AE44" s="10"/>
      <c r="AF44" s="10"/>
      <c r="AG44" s="10"/>
      <c r="AH44" s="10"/>
      <c r="AI44" s="10"/>
      <c r="AJ44" s="10"/>
      <c r="AK44" s="31"/>
      <c r="AL44" s="31"/>
      <c r="AM44" s="48"/>
      <c r="AN44" s="25"/>
      <c r="AO44" s="31"/>
      <c r="AP44" s="59"/>
      <c r="AQ44" s="25"/>
      <c r="AR44" s="59"/>
      <c r="AS44" s="59"/>
      <c r="AT44" s="31"/>
      <c r="AY44" s="54"/>
      <c r="AZ44" s="54"/>
      <c r="BA44" s="56"/>
      <c r="BB44" s="31"/>
    </row>
    <row r="45" spans="1:54" x14ac:dyDescent="0.2">
      <c r="A45" s="448"/>
      <c r="B45" s="437"/>
      <c r="C45" s="438"/>
      <c r="D45" s="427"/>
      <c r="E45" s="427"/>
      <c r="F45" s="438"/>
      <c r="G45" s="438"/>
      <c r="H45" s="438"/>
      <c r="I45" s="438"/>
      <c r="J45" s="456"/>
      <c r="K45" s="438"/>
      <c r="L45" s="438"/>
      <c r="M45" s="480"/>
      <c r="O45" s="31"/>
      <c r="P45" s="31"/>
      <c r="AB45" s="31"/>
      <c r="AC45" s="31"/>
      <c r="AD45" s="31"/>
      <c r="AE45" s="31"/>
      <c r="AF45" s="31"/>
      <c r="AG45" s="31"/>
      <c r="AH45" s="31"/>
      <c r="AI45" s="31"/>
      <c r="AJ45" s="31"/>
      <c r="AK45" s="31"/>
      <c r="AL45" s="31"/>
      <c r="AM45" s="48"/>
      <c r="AN45" s="25"/>
      <c r="AO45" s="31"/>
      <c r="AP45" s="42"/>
      <c r="AQ45" s="25"/>
      <c r="AR45" s="59"/>
      <c r="AS45" s="59"/>
      <c r="AT45" s="31"/>
      <c r="AY45" s="25"/>
      <c r="AZ45" s="38"/>
      <c r="BA45" s="32"/>
      <c r="BB45" s="31"/>
    </row>
    <row r="46" spans="1:54" x14ac:dyDescent="0.2">
      <c r="A46" s="447"/>
      <c r="B46" s="438"/>
      <c r="C46" s="438"/>
      <c r="D46" s="427"/>
      <c r="E46" s="427"/>
      <c r="F46" s="438"/>
      <c r="G46" s="438"/>
      <c r="H46" s="438"/>
      <c r="I46" s="438"/>
      <c r="J46" s="457"/>
      <c r="K46" s="438"/>
      <c r="L46" s="438"/>
      <c r="M46" s="480"/>
      <c r="AL46" s="31"/>
      <c r="AM46" s="31"/>
      <c r="AN46" s="31"/>
      <c r="AO46" s="31"/>
      <c r="AP46" s="31"/>
      <c r="AQ46" s="31"/>
      <c r="AR46" s="31"/>
      <c r="AS46" s="31"/>
      <c r="AT46" s="31"/>
    </row>
    <row r="47" spans="1:54" ht="16.5" customHeight="1" x14ac:dyDescent="0.2">
      <c r="A47" s="447"/>
      <c r="B47" s="438"/>
      <c r="C47" s="296" t="s">
        <v>349</v>
      </c>
      <c r="D47" s="297" t="s">
        <v>225</v>
      </c>
      <c r="E47" s="298"/>
      <c r="F47" s="296" t="s">
        <v>350</v>
      </c>
      <c r="G47" s="297" t="s">
        <v>226</v>
      </c>
      <c r="H47" s="298"/>
      <c r="I47" s="296" t="s">
        <v>349</v>
      </c>
      <c r="J47" s="516" t="s">
        <v>228</v>
      </c>
      <c r="K47" s="296" t="s">
        <v>349</v>
      </c>
      <c r="L47" s="297" t="s">
        <v>230</v>
      </c>
      <c r="M47" s="299"/>
      <c r="AL47" s="31"/>
      <c r="AM47" s="31"/>
      <c r="AN47" s="31"/>
      <c r="AO47" s="31"/>
      <c r="AP47" s="31"/>
      <c r="AQ47" s="31"/>
      <c r="AR47" s="31"/>
      <c r="AS47" s="31"/>
      <c r="AT47" s="31"/>
    </row>
    <row r="48" spans="1:54" x14ac:dyDescent="0.2">
      <c r="A48" s="447"/>
      <c r="B48" s="438"/>
      <c r="C48" s="438"/>
      <c r="D48" s="438"/>
      <c r="E48" s="438"/>
      <c r="F48" s="438"/>
      <c r="G48" s="438"/>
      <c r="H48" s="438"/>
      <c r="I48" s="438"/>
      <c r="J48" s="517"/>
      <c r="K48" s="438"/>
      <c r="L48" s="438"/>
      <c r="M48" s="480"/>
      <c r="AL48" s="31"/>
      <c r="AM48" s="31"/>
      <c r="AN48" s="31"/>
      <c r="AO48" s="31"/>
      <c r="AP48" s="31"/>
      <c r="AQ48" s="31"/>
      <c r="AR48" s="31"/>
      <c r="AS48" s="31"/>
      <c r="AT48" s="31"/>
    </row>
    <row r="49" spans="1:46" x14ac:dyDescent="0.2">
      <c r="A49" s="549" t="s">
        <v>39</v>
      </c>
      <c r="B49" s="550"/>
      <c r="C49" s="68">
        <f>IF('Reference Tables (Intersection)'!$D$7="No",IF($I$9="3ST",SUM('Reference Tables (Intersection)'!$E$10:$E$15),IF($I$9="4ST",SUM('Reference Tables (Intersection)'!$E$18:$E$23),SUM('Reference Tables (Intersection)'!$E$26:$E$31))),IF($I$9="3ST",SUM('Reference Tables (Intersection)'!$I$10:$I$15),IF($I$9="4ST",SUM('Reference Tables (Intersection)'!$I$18:$I$23),SUM('Reference Tables (Intersection)'!$I$26:$I$31))))</f>
        <v>1</v>
      </c>
      <c r="D49" s="429">
        <f>+L34</f>
        <v>6.4414589089057658E-2</v>
      </c>
      <c r="E49" s="430"/>
      <c r="F49" s="68">
        <f>IF('Reference Tables (Intersection)'!$D$7="No",IF($I$9="3ST",SUM('Reference Tables (Intersection)'!$F$10:$F$15),IF($I$9="4ST",SUM('Reference Tables (Intersection)'!$F$18:$F$23),SUM('Reference Tables (Intersection)'!$F$26:$F$31))),IF($I$9="3ST",SUM('Reference Tables (Intersection)'!$J$10:$J$15),IF($I$9="4ST",SUM('Reference Tables (Intersection)'!$J$18:$J$23),SUM('Reference Tables (Intersection)'!$J$26:$J$31))))</f>
        <v>1</v>
      </c>
      <c r="G49" s="429">
        <f>+L35</f>
        <v>3.5909927007548303E-2</v>
      </c>
      <c r="H49" s="430"/>
      <c r="I49" s="68">
        <f>IF('Reference Tables (Intersection)'!$D$7="No",IF($I$9="3ST",SUM('Reference Tables (Intersection)'!$G$10:$G$15),IF($I$9="4ST",SUM('Reference Tables (Intersection)'!$G$18:$G$23),SUM('Reference Tables (Intersection)'!$G$26:$G$31))),IF($I$9="3ST",SUM('Reference Tables (Intersection)'!$K$10:$K$15),IF($I$9="4ST",SUM('Reference Tables (Intersection)'!$K$18:$K$23),SUM('Reference Tables (Intersection)'!$K$26:$K$31))))</f>
        <v>0.99999999999999989</v>
      </c>
      <c r="J49" s="70">
        <f>+L36</f>
        <v>2.8029065435244797E-2</v>
      </c>
      <c r="K49" s="68">
        <f>IF('Reference Tables (Intersection)'!$D$7="No",IF($I$9="3ST",SUM('Reference Tables (Intersection)'!$H$10:$H$15),IF($I$9="4ST",SUM('Reference Tables (Intersection)'!$H$18:$H$23),SUM('Reference Tables (Intersection)'!$H$26:$H$31))),IF($I$9="3ST",SUM('Reference Tables (Intersection)'!$L$10:$L$15),IF($I$9="4ST",SUM('Reference Tables (Intersection)'!$L$18:$L$23),SUM('Reference Tables (Intersection)'!$L$26:$L$31))))</f>
        <v>1</v>
      </c>
      <c r="L49" s="429">
        <f>+L38</f>
        <v>2.8504662081509355E-2</v>
      </c>
      <c r="M49" s="452"/>
      <c r="AL49" s="31"/>
      <c r="AM49" s="31"/>
      <c r="AN49" s="31"/>
      <c r="AO49" s="31"/>
      <c r="AP49" s="31"/>
      <c r="AQ49" s="31"/>
      <c r="AR49" s="31"/>
      <c r="AS49" s="31"/>
      <c r="AT49" s="31"/>
    </row>
    <row r="50" spans="1:46" ht="15.75" x14ac:dyDescent="0.3">
      <c r="A50" s="545"/>
      <c r="B50" s="546"/>
      <c r="C50" s="69"/>
      <c r="D50" s="547" t="s">
        <v>168</v>
      </c>
      <c r="E50" s="546"/>
      <c r="F50" s="69"/>
      <c r="G50" s="548" t="s">
        <v>169</v>
      </c>
      <c r="H50" s="427"/>
      <c r="I50" s="69"/>
      <c r="J50" s="67" t="s">
        <v>170</v>
      </c>
      <c r="K50" s="69"/>
      <c r="L50" s="547" t="s">
        <v>171</v>
      </c>
      <c r="M50" s="480"/>
    </row>
    <row r="51" spans="1:46" x14ac:dyDescent="0.2">
      <c r="A51" s="513" t="s">
        <v>46</v>
      </c>
      <c r="B51" s="427"/>
      <c r="C51" s="68">
        <f>IF('Reference Tables (Intersection)'!$D$7="No",(IF($I$9="3ST",'Reference Tables (Intersection)'!E10,(IF($I$9="4ST",'Reference Tables (Intersection)'!E18,'Reference Tables (Intersection)'!E26)))),(IF($I$9="3ST",'Reference Tables (Intersection)'!I10,(IF($I$9="4ST",'Reference Tables (Intersection)'!I18,'Reference Tables (Intersection)'!I26)))))</f>
        <v>2.9000000000000001E-2</v>
      </c>
      <c r="D51" s="429">
        <f t="shared" ref="D51:D56" si="0">+C51*$D$49</f>
        <v>1.8680230835826722E-3</v>
      </c>
      <c r="E51" s="430"/>
      <c r="F51" s="68">
        <f>IF('Reference Tables (Intersection)'!$D$7="No",(IF($I$9="3ST",'Reference Tables (Intersection)'!F10,(IF($I$9="4ST",'Reference Tables (Intersection)'!F18,'Reference Tables (Intersection)'!F26)))),(IF($I$9="3ST",'Reference Tables (Intersection)'!J10,(IF($I$9="4ST",'Reference Tables (Intersection)'!J18,'Reference Tables (Intersection)'!J26)))))</f>
        <v>4.2999999999999997E-2</v>
      </c>
      <c r="G51" s="429">
        <f t="shared" ref="G51:G56" si="1">+F51*$G$49</f>
        <v>1.544126861324577E-3</v>
      </c>
      <c r="H51" s="430"/>
      <c r="I51" s="68">
        <f>IF('Reference Tables (Intersection)'!$D$7="No",(IF($I$9="3ST",'Reference Tables (Intersection)'!G10,(IF($I$9="4ST",'Reference Tables (Intersection)'!G18,'Reference Tables (Intersection)'!G26)))),(IF($I$9="3ST",'Reference Tables (Intersection)'!K10,(IF($I$9="4ST",'Reference Tables (Intersection)'!K18,'Reference Tables (Intersection)'!K26)))))</f>
        <v>5.1999999999999998E-2</v>
      </c>
      <c r="J51" s="70">
        <f t="shared" ref="J51:J56" si="2">+I51*$J$49</f>
        <v>1.4575114026327293E-3</v>
      </c>
      <c r="K51" s="68">
        <f>IF('Reference Tables (Intersection)'!$D$7="No",(IF($I$9="3ST",'Reference Tables (Intersection)'!H10,(IF($I$9="4ST",'Reference Tables (Intersection)'!H18,'Reference Tables (Intersection)'!H26)))),(IF($I$9="3ST",'Reference Tables (Intersection)'!L10,(IF($I$9="4ST",'Reference Tables (Intersection)'!L18,'Reference Tables (Intersection)'!L26)))))</f>
        <v>0.02</v>
      </c>
      <c r="L51" s="429">
        <f t="shared" ref="L51:L56" si="3">+K51*$L$49</f>
        <v>5.7009324163018714E-4</v>
      </c>
      <c r="M51" s="452"/>
    </row>
    <row r="52" spans="1:46" x14ac:dyDescent="0.2">
      <c r="A52" s="513" t="s">
        <v>48</v>
      </c>
      <c r="B52" s="427"/>
      <c r="C52" s="68">
        <f>IF('Reference Tables (Intersection)'!$D$7="No",(IF($I$9="3ST",'Reference Tables (Intersection)'!E11,(IF($I$9="4ST",'Reference Tables (Intersection)'!E19,'Reference Tables (Intersection)'!E27)))),(IF($I$9="3ST",'Reference Tables (Intersection)'!I11,(IF($I$9="4ST",'Reference Tables (Intersection)'!I19,'Reference Tables (Intersection)'!I27)))))</f>
        <v>0.13300000000000001</v>
      </c>
      <c r="D52" s="429">
        <f t="shared" si="0"/>
        <v>8.5671403488446693E-3</v>
      </c>
      <c r="E52" s="430"/>
      <c r="F52" s="68">
        <f>IF('Reference Tables (Intersection)'!$D$7="No",(IF($I$9="3ST",'Reference Tables (Intersection)'!F11,(IF($I$9="4ST",'Reference Tables (Intersection)'!F19,'Reference Tables (Intersection)'!F27)))),(IF($I$9="3ST",'Reference Tables (Intersection)'!J11,(IF($I$9="4ST",'Reference Tables (Intersection)'!J19,'Reference Tables (Intersection)'!J27)))))</f>
        <v>5.8000000000000003E-2</v>
      </c>
      <c r="G52" s="429">
        <f t="shared" si="1"/>
        <v>2.0827757664378015E-3</v>
      </c>
      <c r="H52" s="430"/>
      <c r="I52" s="68">
        <f>IF('Reference Tables (Intersection)'!$D$7="No",(IF($I$9="3ST",'Reference Tables (Intersection)'!G11,(IF($I$9="4ST",'Reference Tables (Intersection)'!G19,'Reference Tables (Intersection)'!G27)))),(IF($I$9="3ST",'Reference Tables (Intersection)'!K11,(IF($I$9="4ST",'Reference Tables (Intersection)'!K19,'Reference Tables (Intersection)'!K27)))))</f>
        <v>5.7000000000000002E-2</v>
      </c>
      <c r="J52" s="70">
        <f t="shared" si="2"/>
        <v>1.5976567298089535E-3</v>
      </c>
      <c r="K52" s="68">
        <f>IF('Reference Tables (Intersection)'!$D$7="No",(IF($I$9="3ST",'Reference Tables (Intersection)'!H11,(IF($I$9="4ST",'Reference Tables (Intersection)'!H19,'Reference Tables (Intersection)'!H27)))),(IF($I$9="3ST",'Reference Tables (Intersection)'!L11,(IF($I$9="4ST",'Reference Tables (Intersection)'!L19,'Reference Tables (Intersection)'!L27)))))</f>
        <v>0.17899999999999999</v>
      </c>
      <c r="L52" s="429">
        <f t="shared" si="3"/>
        <v>5.1023345125901743E-3</v>
      </c>
      <c r="M52" s="452"/>
    </row>
    <row r="53" spans="1:46" x14ac:dyDescent="0.2">
      <c r="A53" s="428" t="s">
        <v>47</v>
      </c>
      <c r="B53" s="427"/>
      <c r="C53" s="68">
        <f>IF('Reference Tables (Intersection)'!$D$7="No",(IF($I$9="3ST",'Reference Tables (Intersection)'!E12,(IF($I$9="4ST",'Reference Tables (Intersection)'!E20,'Reference Tables (Intersection)'!E28)))),(IF($I$9="3ST",'Reference Tables (Intersection)'!I12,(IF($I$9="4ST",'Reference Tables (Intersection)'!I20,'Reference Tables (Intersection)'!I28)))))</f>
        <v>0.28899999999999998</v>
      </c>
      <c r="D53" s="429">
        <f t="shared" si="0"/>
        <v>1.8615816246737662E-2</v>
      </c>
      <c r="E53" s="430"/>
      <c r="F53" s="68">
        <f>IF('Reference Tables (Intersection)'!$D$7="No",(IF($I$9="3ST",'Reference Tables (Intersection)'!F12,(IF($I$9="4ST",'Reference Tables (Intersection)'!F20,'Reference Tables (Intersection)'!F28)))),(IF($I$9="3ST",'Reference Tables (Intersection)'!J12,(IF($I$9="4ST",'Reference Tables (Intersection)'!J20,'Reference Tables (Intersection)'!J28)))))</f>
        <v>0.247</v>
      </c>
      <c r="G53" s="429">
        <f t="shared" si="1"/>
        <v>8.8697519708644309E-3</v>
      </c>
      <c r="H53" s="430"/>
      <c r="I53" s="68">
        <f>IF('Reference Tables (Intersection)'!$D$7="No",(IF($I$9="3ST",'Reference Tables (Intersection)'!G12,(IF($I$9="4ST",'Reference Tables (Intersection)'!G20,'Reference Tables (Intersection)'!G28)))),(IF($I$9="3ST",'Reference Tables (Intersection)'!K12,(IF($I$9="4ST",'Reference Tables (Intersection)'!K20,'Reference Tables (Intersection)'!K28)))))</f>
        <v>0.14199999999999999</v>
      </c>
      <c r="J53" s="70">
        <f t="shared" si="2"/>
        <v>3.9801272918047609E-3</v>
      </c>
      <c r="K53" s="68">
        <f>IF('Reference Tables (Intersection)'!$D$7="No",(IF($I$9="3ST",'Reference Tables (Intersection)'!H12,(IF($I$9="4ST",'Reference Tables (Intersection)'!H20,'Reference Tables (Intersection)'!H28)))),(IF($I$9="3ST",'Reference Tables (Intersection)'!L12,(IF($I$9="4ST",'Reference Tables (Intersection)'!L20,'Reference Tables (Intersection)'!L28)))))</f>
        <v>0.315</v>
      </c>
      <c r="L53" s="429">
        <f t="shared" si="3"/>
        <v>8.978968555675447E-3</v>
      </c>
      <c r="M53" s="452"/>
    </row>
    <row r="54" spans="1:46" x14ac:dyDescent="0.2">
      <c r="A54" s="513" t="s">
        <v>45</v>
      </c>
      <c r="B54" s="427"/>
      <c r="C54" s="68">
        <f>IF('Reference Tables (Intersection)'!$D$7="No",(IF($I$9="3ST",'Reference Tables (Intersection)'!E13,(IF($I$9="4ST",'Reference Tables (Intersection)'!E21,'Reference Tables (Intersection)'!E29)))),(IF($I$9="3ST",'Reference Tables (Intersection)'!I13,(IF($I$9="4ST",'Reference Tables (Intersection)'!I21,'Reference Tables (Intersection)'!I29)))))</f>
        <v>0.26300000000000001</v>
      </c>
      <c r="D54" s="429">
        <f t="shared" si="0"/>
        <v>1.6941036930422166E-2</v>
      </c>
      <c r="E54" s="430"/>
      <c r="F54" s="68">
        <f>IF('Reference Tables (Intersection)'!$D$7="No",(IF($I$9="3ST",'Reference Tables (Intersection)'!F13,(IF($I$9="4ST",'Reference Tables (Intersection)'!F21,'Reference Tables (Intersection)'!F29)))),(IF($I$9="3ST",'Reference Tables (Intersection)'!J13,(IF($I$9="4ST",'Reference Tables (Intersection)'!J21,'Reference Tables (Intersection)'!J29)))))</f>
        <v>0.36899999999999999</v>
      </c>
      <c r="G54" s="429">
        <f t="shared" si="1"/>
        <v>1.3250763065785324E-2</v>
      </c>
      <c r="H54" s="430"/>
      <c r="I54" s="68">
        <f>IF('Reference Tables (Intersection)'!$D$7="No",(IF($I$9="3ST",'Reference Tables (Intersection)'!G13,(IF($I$9="4ST",'Reference Tables (Intersection)'!G21,'Reference Tables (Intersection)'!G29)))),(IF($I$9="3ST",'Reference Tables (Intersection)'!K13,(IF($I$9="4ST",'Reference Tables (Intersection)'!K21,'Reference Tables (Intersection)'!K29)))))</f>
        <v>0.38100000000000001</v>
      </c>
      <c r="J54" s="70">
        <f t="shared" si="2"/>
        <v>1.0679073930828268E-2</v>
      </c>
      <c r="K54" s="68">
        <f>IF('Reference Tables (Intersection)'!$D$7="No",(IF($I$9="3ST",'Reference Tables (Intersection)'!H13,(IF($I$9="4ST",'Reference Tables (Intersection)'!H21,'Reference Tables (Intersection)'!H29)))),(IF($I$9="3ST",'Reference Tables (Intersection)'!L13,(IF($I$9="4ST",'Reference Tables (Intersection)'!L21,'Reference Tables (Intersection)'!L29)))))</f>
        <v>0.19800000000000001</v>
      </c>
      <c r="L54" s="429">
        <f t="shared" si="3"/>
        <v>5.6439230921388524E-3</v>
      </c>
      <c r="M54" s="452"/>
    </row>
    <row r="55" spans="1:46" x14ac:dyDescent="0.2">
      <c r="A55" s="513" t="s">
        <v>172</v>
      </c>
      <c r="B55" s="427"/>
      <c r="C55" s="68">
        <f>IF('Reference Tables (Intersection)'!$D$7="No",(IF($I$9="3ST",'Reference Tables (Intersection)'!E14,(IF($I$9="4ST",'Reference Tables (Intersection)'!E22,'Reference Tables (Intersection)'!E30)))),(IF($I$9="3ST",'Reference Tables (Intersection)'!I14,(IF($I$9="4ST",'Reference Tables (Intersection)'!I22,'Reference Tables (Intersection)'!I30)))))</f>
        <v>0.23400000000000001</v>
      </c>
      <c r="D55" s="429">
        <f t="shared" si="0"/>
        <v>1.5073013846839492E-2</v>
      </c>
      <c r="E55" s="430"/>
      <c r="F55" s="68">
        <f>IF('Reference Tables (Intersection)'!$D$7="No",(IF($I$9="3ST",'Reference Tables (Intersection)'!F14,(IF($I$9="4ST",'Reference Tables (Intersection)'!F22,'Reference Tables (Intersection)'!F30)))),(IF($I$9="3ST",'Reference Tables (Intersection)'!J14,(IF($I$9="4ST",'Reference Tables (Intersection)'!J22,'Reference Tables (Intersection)'!J30)))))</f>
        <v>0.219</v>
      </c>
      <c r="G55" s="429">
        <f t="shared" si="1"/>
        <v>7.8642740146530783E-3</v>
      </c>
      <c r="H55" s="430"/>
      <c r="I55" s="68">
        <f>IF('Reference Tables (Intersection)'!$D$7="No",(IF($I$9="3ST",'Reference Tables (Intersection)'!G14,(IF($I$9="4ST",'Reference Tables (Intersection)'!G22,'Reference Tables (Intersection)'!G30)))),(IF($I$9="3ST",'Reference Tables (Intersection)'!K14,(IF($I$9="4ST",'Reference Tables (Intersection)'!K22,'Reference Tables (Intersection)'!K30)))))</f>
        <v>0.28399999999999997</v>
      </c>
      <c r="J55" s="70">
        <f t="shared" si="2"/>
        <v>7.9602545836095218E-3</v>
      </c>
      <c r="K55" s="68">
        <f>IF('Reference Tables (Intersection)'!$D$7="No",(IF($I$9="3ST",'Reference Tables (Intersection)'!H14,(IF($I$9="4ST",'Reference Tables (Intersection)'!H22,'Reference Tables (Intersection)'!H30)))),(IF($I$9="3ST",'Reference Tables (Intersection)'!L14,(IF($I$9="4ST",'Reference Tables (Intersection)'!L22,'Reference Tables (Intersection)'!L30)))))</f>
        <v>0.24399999999999999</v>
      </c>
      <c r="L55" s="429">
        <f t="shared" si="3"/>
        <v>6.9551375478882826E-3</v>
      </c>
      <c r="M55" s="452"/>
      <c r="N55" s="22"/>
    </row>
    <row r="56" spans="1:46" ht="13.5" thickBot="1" x14ac:dyDescent="0.25">
      <c r="A56" s="514" t="s">
        <v>173</v>
      </c>
      <c r="B56" s="515"/>
      <c r="C56" s="68">
        <f>IF('Reference Tables (Intersection)'!$D$7="No",(IF($I$9="3ST",'Reference Tables (Intersection)'!E15,(IF($I$9="4ST",'Reference Tables (Intersection)'!E23,'Reference Tables (Intersection)'!E31)))),(IF($I$9="3ST",'Reference Tables (Intersection)'!I15,(IF($I$9="4ST",'Reference Tables (Intersection)'!I23,'Reference Tables (Intersection)'!I31)))))</f>
        <v>5.1999999999999998E-2</v>
      </c>
      <c r="D56" s="429">
        <f t="shared" si="0"/>
        <v>3.3495586326309982E-3</v>
      </c>
      <c r="E56" s="430"/>
      <c r="F56" s="68">
        <f>IF('Reference Tables (Intersection)'!$D$7="No",(IF($I$9="3ST",'Reference Tables (Intersection)'!F15,(IF($I$9="4ST",'Reference Tables (Intersection)'!F23,'Reference Tables (Intersection)'!F31)))),(IF($I$9="3ST",'Reference Tables (Intersection)'!J15,(IF($I$9="4ST",'Reference Tables (Intersection)'!J23,'Reference Tables (Intersection)'!J31)))))</f>
        <v>6.4000000000000001E-2</v>
      </c>
      <c r="G56" s="429">
        <f t="shared" si="1"/>
        <v>2.2982353284830915E-3</v>
      </c>
      <c r="H56" s="430"/>
      <c r="I56" s="68">
        <f>IF('Reference Tables (Intersection)'!$D$7="No",(IF($I$9="3ST",'Reference Tables (Intersection)'!G15,(IF($I$9="4ST",'Reference Tables (Intersection)'!G23,'Reference Tables (Intersection)'!G31)))),(IF($I$9="3ST",'Reference Tables (Intersection)'!K15,(IF($I$9="4ST",'Reference Tables (Intersection)'!K23,'Reference Tables (Intersection)'!K31)))))</f>
        <v>8.4000000000000005E-2</v>
      </c>
      <c r="J56" s="70">
        <f t="shared" si="2"/>
        <v>2.3544414965605632E-3</v>
      </c>
      <c r="K56" s="68">
        <f>IF('Reference Tables (Intersection)'!$D$7="No",(IF($I$9="3ST",'Reference Tables (Intersection)'!H15,(IF($I$9="4ST",'Reference Tables (Intersection)'!H23,'Reference Tables (Intersection)'!H31)))),(IF($I$9="3ST",'Reference Tables (Intersection)'!L15,(IF($I$9="4ST",'Reference Tables (Intersection)'!L23,'Reference Tables (Intersection)'!L31)))))</f>
        <v>4.3999999999999997E-2</v>
      </c>
      <c r="L56" s="429">
        <f t="shared" si="3"/>
        <v>1.2542051315864115E-3</v>
      </c>
      <c r="M56" s="452"/>
      <c r="N56" s="22"/>
    </row>
    <row r="57" spans="1:46" x14ac:dyDescent="0.2">
      <c r="A57" s="497" t="s">
        <v>155</v>
      </c>
      <c r="B57" s="498"/>
      <c r="C57" s="498"/>
      <c r="D57" s="498"/>
      <c r="E57" s="498"/>
      <c r="F57" s="498"/>
      <c r="G57" s="498"/>
      <c r="H57" s="498"/>
      <c r="I57" s="498"/>
      <c r="J57" s="498"/>
      <c r="K57" s="498"/>
      <c r="L57" s="498"/>
      <c r="M57" s="498"/>
      <c r="N57" s="73"/>
    </row>
    <row r="58" spans="1:46" x14ac:dyDescent="0.2">
      <c r="A58" s="31"/>
      <c r="B58" s="31"/>
      <c r="C58" s="42"/>
      <c r="D58" s="42"/>
      <c r="E58" s="42"/>
      <c r="F58" s="42"/>
      <c r="G58" s="25"/>
      <c r="H58" s="42"/>
      <c r="I58" s="42"/>
      <c r="J58" s="42"/>
      <c r="K58" s="25"/>
      <c r="L58" s="42"/>
      <c r="M58" s="42"/>
      <c r="N58" s="31"/>
    </row>
    <row r="59" spans="1:46" x14ac:dyDescent="0.2">
      <c r="A59" s="54"/>
      <c r="B59" s="25"/>
      <c r="C59" s="25"/>
      <c r="D59" s="25"/>
      <c r="E59" s="25"/>
      <c r="F59" s="25"/>
      <c r="G59" s="25"/>
      <c r="H59" s="31"/>
      <c r="I59" s="31"/>
      <c r="J59" s="31"/>
      <c r="K59" s="31"/>
      <c r="L59" s="31"/>
      <c r="M59" s="31"/>
      <c r="N59" s="31"/>
    </row>
    <row r="60" spans="1:46" ht="13.5" thickBot="1" x14ac:dyDescent="0.25">
      <c r="I60" s="31"/>
      <c r="J60" s="31"/>
      <c r="K60" s="31"/>
      <c r="L60" s="31"/>
      <c r="M60" s="31"/>
      <c r="N60" s="31"/>
      <c r="O60" s="31"/>
      <c r="P60" s="31"/>
    </row>
    <row r="61" spans="1:46" ht="14.25" thickTop="1" thickBot="1" x14ac:dyDescent="0.25">
      <c r="C61" s="372" t="s">
        <v>231</v>
      </c>
      <c r="D61" s="372"/>
      <c r="E61" s="372"/>
      <c r="F61" s="372"/>
      <c r="G61" s="372"/>
      <c r="H61" s="372"/>
      <c r="I61" s="372"/>
      <c r="J61" s="372"/>
      <c r="K61" s="43"/>
      <c r="L61" s="43"/>
      <c r="M61" s="43"/>
      <c r="N61" s="31"/>
      <c r="O61" s="31"/>
      <c r="P61" s="31"/>
    </row>
    <row r="62" spans="1:46" x14ac:dyDescent="0.2">
      <c r="C62" s="493" t="s">
        <v>19</v>
      </c>
      <c r="D62" s="440"/>
      <c r="E62" s="440"/>
      <c r="F62" s="441"/>
      <c r="G62" s="494" t="s">
        <v>20</v>
      </c>
      <c r="H62" s="495"/>
      <c r="I62" s="495"/>
      <c r="J62" s="496"/>
      <c r="K62" s="25"/>
      <c r="L62" s="25"/>
      <c r="M62" s="25"/>
      <c r="N62" s="31"/>
      <c r="O62" s="31"/>
      <c r="P62" s="31"/>
    </row>
    <row r="63" spans="1:46" x14ac:dyDescent="0.2">
      <c r="C63" s="502" t="s">
        <v>49</v>
      </c>
      <c r="D63" s="449"/>
      <c r="E63" s="449"/>
      <c r="F63" s="449"/>
      <c r="G63" s="505" t="s">
        <v>111</v>
      </c>
      <c r="H63" s="505"/>
      <c r="I63" s="505"/>
      <c r="J63" s="506"/>
      <c r="K63" s="54"/>
      <c r="L63" s="54"/>
      <c r="M63" s="54"/>
      <c r="N63" s="31"/>
      <c r="O63" s="31"/>
      <c r="P63" s="31"/>
    </row>
    <row r="64" spans="1:46" x14ac:dyDescent="0.2">
      <c r="C64" s="503"/>
      <c r="D64" s="504"/>
      <c r="E64" s="504"/>
      <c r="F64" s="504"/>
      <c r="G64" s="507" t="s">
        <v>232</v>
      </c>
      <c r="H64" s="451"/>
      <c r="I64" s="451"/>
      <c r="J64" s="508"/>
      <c r="K64" s="40"/>
      <c r="L64" s="31"/>
      <c r="M64" s="31"/>
      <c r="N64" s="31"/>
      <c r="O64" s="31"/>
      <c r="P64" s="31"/>
    </row>
    <row r="65" spans="1:16" x14ac:dyDescent="0.2">
      <c r="C65" s="487" t="s">
        <v>39</v>
      </c>
      <c r="D65" s="488"/>
      <c r="E65" s="488"/>
      <c r="F65" s="451"/>
      <c r="G65" s="489">
        <f>+L34</f>
        <v>6.4414589089057658E-2</v>
      </c>
      <c r="H65" s="490"/>
      <c r="I65" s="490"/>
      <c r="J65" s="490"/>
      <c r="K65" s="10"/>
      <c r="L65" s="10"/>
      <c r="M65" s="10"/>
      <c r="N65" s="31"/>
      <c r="O65" s="31"/>
      <c r="P65" s="31"/>
    </row>
    <row r="66" spans="1:16" x14ac:dyDescent="0.2">
      <c r="C66" s="487" t="s">
        <v>40</v>
      </c>
      <c r="D66" s="488"/>
      <c r="E66" s="488"/>
      <c r="F66" s="451"/>
      <c r="G66" s="489">
        <f>+L35</f>
        <v>3.5909927007548303E-2</v>
      </c>
      <c r="H66" s="490"/>
      <c r="I66" s="490"/>
      <c r="J66" s="490"/>
      <c r="K66" s="10"/>
      <c r="L66" s="10"/>
      <c r="M66" s="10"/>
      <c r="N66" s="31"/>
      <c r="O66" s="31"/>
      <c r="P66" s="31"/>
    </row>
    <row r="67" spans="1:16" ht="14.25" x14ac:dyDescent="0.2">
      <c r="C67" s="499" t="s">
        <v>153</v>
      </c>
      <c r="D67" s="500"/>
      <c r="E67" s="500"/>
      <c r="F67" s="501"/>
      <c r="G67" s="489">
        <f>+L36</f>
        <v>2.8029065435244797E-2</v>
      </c>
      <c r="H67" s="490"/>
      <c r="I67" s="490"/>
      <c r="J67" s="490"/>
      <c r="K67" s="10"/>
      <c r="L67" s="10"/>
      <c r="M67" s="10"/>
      <c r="N67" s="31"/>
      <c r="O67" s="31"/>
      <c r="P67" s="31"/>
    </row>
    <row r="68" spans="1:16" ht="13.5" thickBot="1" x14ac:dyDescent="0.25">
      <c r="C68" s="485" t="s">
        <v>41</v>
      </c>
      <c r="D68" s="486"/>
      <c r="E68" s="486"/>
      <c r="F68" s="439"/>
      <c r="G68" s="491">
        <f>+L38</f>
        <v>2.8504662081509355E-2</v>
      </c>
      <c r="H68" s="492"/>
      <c r="I68" s="492"/>
      <c r="J68" s="492"/>
      <c r="K68" s="10"/>
      <c r="L68" s="10"/>
      <c r="M68" s="10"/>
      <c r="N68" s="31"/>
      <c r="O68" s="31"/>
      <c r="P68" s="31"/>
    </row>
    <row r="69" spans="1:16" x14ac:dyDescent="0.2">
      <c r="C69" s="497" t="s">
        <v>155</v>
      </c>
      <c r="D69" s="498"/>
      <c r="E69" s="498"/>
      <c r="F69" s="498"/>
      <c r="G69" s="498"/>
      <c r="H69" s="498"/>
      <c r="I69" s="498"/>
      <c r="J69" s="498"/>
      <c r="K69" s="53"/>
      <c r="L69" s="53"/>
      <c r="M69" s="53"/>
      <c r="N69" s="53"/>
      <c r="O69" s="31"/>
      <c r="P69" s="31"/>
    </row>
    <row r="72" spans="1:16" x14ac:dyDescent="0.2">
      <c r="A72" s="31"/>
      <c r="B72" s="31"/>
      <c r="C72" s="31"/>
      <c r="D72" s="31"/>
      <c r="E72" s="31"/>
      <c r="F72" s="31"/>
      <c r="G72" s="31"/>
      <c r="H72" s="31"/>
      <c r="I72" s="31"/>
      <c r="J72" s="31"/>
      <c r="K72" s="31"/>
      <c r="L72" s="31"/>
      <c r="M72" s="31"/>
      <c r="N72" s="31"/>
    </row>
    <row r="73" spans="1:16" x14ac:dyDescent="0.2">
      <c r="A73" s="31"/>
      <c r="B73" s="31"/>
      <c r="C73" s="31"/>
      <c r="D73" s="31"/>
      <c r="E73" s="31"/>
      <c r="F73" s="31"/>
      <c r="G73" s="31"/>
      <c r="H73" s="31"/>
      <c r="I73" s="31"/>
      <c r="J73" s="31"/>
      <c r="K73" s="31"/>
      <c r="L73" s="31"/>
      <c r="M73" s="31"/>
      <c r="N73" s="31"/>
    </row>
    <row r="74" spans="1:16" x14ac:dyDescent="0.2">
      <c r="A74" s="40"/>
      <c r="B74" s="40"/>
      <c r="C74" s="40"/>
      <c r="D74" s="40"/>
      <c r="E74" s="40"/>
      <c r="F74" s="40"/>
      <c r="G74" s="40"/>
      <c r="H74" s="40"/>
      <c r="I74" s="40"/>
      <c r="J74" s="40"/>
      <c r="K74" s="40"/>
      <c r="L74" s="40"/>
      <c r="M74" s="40"/>
      <c r="N74" s="31"/>
    </row>
    <row r="75" spans="1:16" x14ac:dyDescent="0.2">
      <c r="A75" s="51"/>
      <c r="B75" s="51"/>
      <c r="K75" s="52"/>
      <c r="L75" s="52"/>
      <c r="M75" s="52"/>
      <c r="N75" s="31"/>
    </row>
    <row r="76" spans="1:16" x14ac:dyDescent="0.2">
      <c r="A76" s="51"/>
      <c r="B76" s="51"/>
      <c r="K76" s="52"/>
      <c r="L76" s="40"/>
      <c r="M76" s="40"/>
      <c r="N76" s="31"/>
    </row>
    <row r="77" spans="1:16" x14ac:dyDescent="0.2">
      <c r="A77" s="53"/>
      <c r="B77" s="53"/>
      <c r="K77" s="25"/>
      <c r="L77" s="10"/>
      <c r="M77" s="10"/>
      <c r="N77" s="31"/>
    </row>
    <row r="78" spans="1:16" x14ac:dyDescent="0.2">
      <c r="A78" s="53"/>
      <c r="B78" s="53"/>
      <c r="K78" s="25"/>
      <c r="L78" s="10"/>
      <c r="M78" s="10"/>
      <c r="N78" s="31"/>
    </row>
    <row r="79" spans="1:16" x14ac:dyDescent="0.2">
      <c r="A79" s="53"/>
      <c r="B79" s="53"/>
      <c r="K79" s="25"/>
      <c r="L79" s="10"/>
      <c r="M79" s="10"/>
      <c r="N79" s="31"/>
    </row>
    <row r="80" spans="1:16" x14ac:dyDescent="0.2">
      <c r="A80" s="31"/>
      <c r="B80" s="31"/>
      <c r="K80" s="31"/>
      <c r="L80" s="31"/>
      <c r="M80" s="31"/>
      <c r="N80" s="31"/>
    </row>
    <row r="81" spans="1:14" x14ac:dyDescent="0.2">
      <c r="A81" s="31"/>
      <c r="B81" s="31"/>
      <c r="K81" s="31"/>
      <c r="L81" s="31"/>
      <c r="M81" s="31"/>
      <c r="N81" s="31"/>
    </row>
    <row r="82" spans="1:14" x14ac:dyDescent="0.2">
      <c r="A82" s="31"/>
      <c r="B82" s="31"/>
      <c r="K82" s="31"/>
      <c r="L82" s="31"/>
      <c r="M82" s="31"/>
      <c r="N82" s="31"/>
    </row>
  </sheetData>
  <mergeCells count="190">
    <mergeCell ref="A2:M2"/>
    <mergeCell ref="A3:F3"/>
    <mergeCell ref="G3:M3"/>
    <mergeCell ref="A7:C7"/>
    <mergeCell ref="D7:F7"/>
    <mergeCell ref="G7:I7"/>
    <mergeCell ref="J4:M4"/>
    <mergeCell ref="A6:C6"/>
    <mergeCell ref="A4:C4"/>
    <mergeCell ref="D4:F4"/>
    <mergeCell ref="A5:C5"/>
    <mergeCell ref="D5:F5"/>
    <mergeCell ref="G4:I4"/>
    <mergeCell ref="D6:F6"/>
    <mergeCell ref="G6:I6"/>
    <mergeCell ref="G5:I5"/>
    <mergeCell ref="J5:M5"/>
    <mergeCell ref="J7:M7"/>
    <mergeCell ref="J6:M6"/>
    <mergeCell ref="A8:F8"/>
    <mergeCell ref="G8:H8"/>
    <mergeCell ref="I8:M8"/>
    <mergeCell ref="A14:F14"/>
    <mergeCell ref="G14:H14"/>
    <mergeCell ref="I14:M14"/>
    <mergeCell ref="A13:F13"/>
    <mergeCell ref="G13:H13"/>
    <mergeCell ref="I13:M13"/>
    <mergeCell ref="G12:H12"/>
    <mergeCell ref="G10:H10"/>
    <mergeCell ref="I10:M10"/>
    <mergeCell ref="A12:F12"/>
    <mergeCell ref="A11:C11"/>
    <mergeCell ref="A9:F9"/>
    <mergeCell ref="G9:H9"/>
    <mergeCell ref="I9:M9"/>
    <mergeCell ref="A10:C10"/>
    <mergeCell ref="G11:H11"/>
    <mergeCell ref="I11:M11"/>
    <mergeCell ref="A19:M19"/>
    <mergeCell ref="L20:M20"/>
    <mergeCell ref="A16:F16"/>
    <mergeCell ref="G16:H16"/>
    <mergeCell ref="I16:M16"/>
    <mergeCell ref="A15:F15"/>
    <mergeCell ref="G15:H15"/>
    <mergeCell ref="I15:M15"/>
    <mergeCell ref="A20:B20"/>
    <mergeCell ref="C20:E20"/>
    <mergeCell ref="L33:M33"/>
    <mergeCell ref="L34:M34"/>
    <mergeCell ref="A43:B43"/>
    <mergeCell ref="D43:E43"/>
    <mergeCell ref="A42:M42"/>
    <mergeCell ref="A37:B38"/>
    <mergeCell ref="C37:C38"/>
    <mergeCell ref="A36:B36"/>
    <mergeCell ref="A50:B50"/>
    <mergeCell ref="D50:E50"/>
    <mergeCell ref="G50:H50"/>
    <mergeCell ref="L50:M50"/>
    <mergeCell ref="A49:B49"/>
    <mergeCell ref="D49:E49"/>
    <mergeCell ref="G49:H49"/>
    <mergeCell ref="L49:M49"/>
    <mergeCell ref="F36:G36"/>
    <mergeCell ref="H36:I36"/>
    <mergeCell ref="C44:C46"/>
    <mergeCell ref="D44:E46"/>
    <mergeCell ref="L44:M46"/>
    <mergeCell ref="A39:M39"/>
    <mergeCell ref="K37:K38"/>
    <mergeCell ref="J37:J38"/>
    <mergeCell ref="H30:I30"/>
    <mergeCell ref="A29:M29"/>
    <mergeCell ref="J22:K22"/>
    <mergeCell ref="J23:K23"/>
    <mergeCell ref="J24:K24"/>
    <mergeCell ref="F20:G20"/>
    <mergeCell ref="F21:G21"/>
    <mergeCell ref="F22:G22"/>
    <mergeCell ref="J20:K20"/>
    <mergeCell ref="H20:I20"/>
    <mergeCell ref="H22:I22"/>
    <mergeCell ref="H21:I21"/>
    <mergeCell ref="C21:E21"/>
    <mergeCell ref="C22:E23"/>
    <mergeCell ref="A26:M26"/>
    <mergeCell ref="L24:M24"/>
    <mergeCell ref="L23:M23"/>
    <mergeCell ref="J21:K21"/>
    <mergeCell ref="A21:B23"/>
    <mergeCell ref="C24:E24"/>
    <mergeCell ref="A24:B24"/>
    <mergeCell ref="C69:J69"/>
    <mergeCell ref="F37:G38"/>
    <mergeCell ref="H37:I38"/>
    <mergeCell ref="G51:H51"/>
    <mergeCell ref="G47:H48"/>
    <mergeCell ref="I47:I48"/>
    <mergeCell ref="A52:B52"/>
    <mergeCell ref="D52:E52"/>
    <mergeCell ref="A51:B51"/>
    <mergeCell ref="D51:E51"/>
    <mergeCell ref="A44:B48"/>
    <mergeCell ref="C47:C48"/>
    <mergeCell ref="D47:E48"/>
    <mergeCell ref="A54:B54"/>
    <mergeCell ref="D54:E54"/>
    <mergeCell ref="D37:D38"/>
    <mergeCell ref="E37:E38"/>
    <mergeCell ref="A56:B56"/>
    <mergeCell ref="D56:E56"/>
    <mergeCell ref="G56:H56"/>
    <mergeCell ref="A55:B55"/>
    <mergeCell ref="D55:E55"/>
    <mergeCell ref="G55:H55"/>
    <mergeCell ref="J47:J48"/>
    <mergeCell ref="H31:I32"/>
    <mergeCell ref="C68:F68"/>
    <mergeCell ref="C65:F65"/>
    <mergeCell ref="G65:J65"/>
    <mergeCell ref="G68:J68"/>
    <mergeCell ref="L54:M54"/>
    <mergeCell ref="C66:F66"/>
    <mergeCell ref="G66:J66"/>
    <mergeCell ref="C62:F62"/>
    <mergeCell ref="G62:J62"/>
    <mergeCell ref="L56:M56"/>
    <mergeCell ref="L55:M55"/>
    <mergeCell ref="A57:M57"/>
    <mergeCell ref="C67:F67"/>
    <mergeCell ref="C61:J61"/>
    <mergeCell ref="C63:F64"/>
    <mergeCell ref="G63:J63"/>
    <mergeCell ref="G64:J64"/>
    <mergeCell ref="G67:J67"/>
    <mergeCell ref="G54:H54"/>
    <mergeCell ref="A34:B34"/>
    <mergeCell ref="C31:E31"/>
    <mergeCell ref="C32:E32"/>
    <mergeCell ref="J32:J33"/>
    <mergeCell ref="F31:G32"/>
    <mergeCell ref="L51:M51"/>
    <mergeCell ref="G52:H52"/>
    <mergeCell ref="L52:M52"/>
    <mergeCell ref="G53:H53"/>
    <mergeCell ref="L53:M53"/>
    <mergeCell ref="I12:M12"/>
    <mergeCell ref="J44:J46"/>
    <mergeCell ref="L43:M43"/>
    <mergeCell ref="I44:I46"/>
    <mergeCell ref="K44:K46"/>
    <mergeCell ref="L21:M22"/>
    <mergeCell ref="L30:M30"/>
    <mergeCell ref="F23:G23"/>
    <mergeCell ref="F24:G24"/>
    <mergeCell ref="H23:I23"/>
    <mergeCell ref="H24:I24"/>
    <mergeCell ref="L25:M25"/>
    <mergeCell ref="L31:M32"/>
    <mergeCell ref="L38:M38"/>
    <mergeCell ref="L35:M35"/>
    <mergeCell ref="L37:M37"/>
    <mergeCell ref="L47:M48"/>
    <mergeCell ref="L36:M36"/>
    <mergeCell ref="A35:B35"/>
    <mergeCell ref="A53:B53"/>
    <mergeCell ref="D53:E53"/>
    <mergeCell ref="A25:B25"/>
    <mergeCell ref="C25:E25"/>
    <mergeCell ref="C30:E30"/>
    <mergeCell ref="K31:K33"/>
    <mergeCell ref="F25:G25"/>
    <mergeCell ref="H25:I25"/>
    <mergeCell ref="J25:K25"/>
    <mergeCell ref="H33:I33"/>
    <mergeCell ref="F30:G30"/>
    <mergeCell ref="A30:B30"/>
    <mergeCell ref="G43:H43"/>
    <mergeCell ref="F44:F46"/>
    <mergeCell ref="G44:H46"/>
    <mergeCell ref="F47:F48"/>
    <mergeCell ref="F34:G34"/>
    <mergeCell ref="H34:I34"/>
    <mergeCell ref="K47:K48"/>
    <mergeCell ref="F35:G35"/>
    <mergeCell ref="H35:I35"/>
    <mergeCell ref="F33:G33"/>
    <mergeCell ref="A31:B33"/>
  </mergeCells>
  <conditionalFormatting sqref="I10:M10">
    <cfRule type="cellIs" dxfId="1" priority="2" stopIfTrue="1" operator="greaterThan">
      <formula>$E$10</formula>
    </cfRule>
  </conditionalFormatting>
  <conditionalFormatting sqref="I11:M11">
    <cfRule type="cellIs" dxfId="0" priority="1" stopIfTrue="1" operator="greaterThan">
      <formula>$E$11</formula>
    </cfRule>
  </conditionalFormatting>
  <dataValidations count="11">
    <dataValidation type="list" allowBlank="1" showInputMessage="1" showErrorMessage="1" sqref="AO42" xr:uid="{00000000-0002-0000-0600-000000000000}">
      <formula1>Local</formula1>
    </dataValidation>
    <dataValidation type="list" allowBlank="1" showInputMessage="1" showErrorMessage="1" sqref="I15:M15" xr:uid="{00000000-0002-0000-0600-000001000000}">
      <formula1>ILight</formula1>
    </dataValidation>
    <dataValidation type="list" allowBlank="1" showInputMessage="1" showErrorMessage="1" sqref="I13:M13" xr:uid="{00000000-0002-0000-0600-000002000000}">
      <formula1>IApproach</formula1>
    </dataValidation>
    <dataValidation allowBlank="1" showInputMessage="1" showErrorMessage="1" errorTitle="Invalid" sqref="L27:M27" xr:uid="{00000000-0002-0000-0600-000003000000}"/>
    <dataValidation type="whole" allowBlank="1" showInputMessage="1" showErrorMessage="1" sqref="I11:M11" xr:uid="{00000000-0002-0000-0600-000004000000}">
      <formula1>0</formula1>
      <formula2>23000</formula2>
    </dataValidation>
    <dataValidation type="list" operator="greaterThan" allowBlank="1" showInputMessage="1" showErrorMessage="1" sqref="I9:M9" xr:uid="{00000000-0002-0000-0600-000005000000}">
      <formula1>IType</formula1>
    </dataValidation>
    <dataValidation type="whole" allowBlank="1" showInputMessage="1" showErrorMessage="1" sqref="I12:M12" xr:uid="{00000000-0002-0000-0600-000006000000}">
      <formula1>0</formula1>
      <formula2>90</formula2>
    </dataValidation>
    <dataValidation type="whole" allowBlank="1" showInputMessage="1" showErrorMessage="1" sqref="I10:M10" xr:uid="{00000000-0002-0000-0600-000007000000}">
      <formula1>0</formula1>
      <formula2>78300</formula2>
    </dataValidation>
    <dataValidation type="whole" operator="greaterThan" allowBlank="1" showInputMessage="1" showErrorMessage="1" sqref="J7:M7" xr:uid="{00000000-0002-0000-0600-000008000000}">
      <formula1>1990</formula1>
    </dataValidation>
    <dataValidation type="decimal" allowBlank="1" showInputMessage="1" showErrorMessage="1" sqref="I16:M16" xr:uid="{00000000-0002-0000-0600-000009000000}">
      <formula1>0</formula1>
      <formula2>10</formula2>
    </dataValidation>
    <dataValidation type="list" allowBlank="1" showInputMessage="1" showErrorMessage="1" sqref="I14:M14" xr:uid="{00000000-0002-0000-0600-00000A000000}">
      <formula1>RtApproach</formula1>
    </dataValidation>
  </dataValidations>
  <pageMargins left="0.7" right="0.7" top="0.75" bottom="0.75" header="0.3" footer="0.3"/>
  <pageSetup orientation="portrait" r:id="rId1"/>
  <ignoredErrors>
    <ignoredError sqref="A20 C20 F20 H20 J20 L20 A30 C30 F30 H30 J30:L30 A43 C43:D43 F43:G43 I43:L43 C62 G6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BA92"/>
  <sheetViews>
    <sheetView workbookViewId="0">
      <selection activeCell="L16" sqref="L16"/>
    </sheetView>
  </sheetViews>
  <sheetFormatPr defaultColWidth="9.140625" defaultRowHeight="12.75" x14ac:dyDescent="0.2"/>
  <cols>
    <col min="1" max="7" width="13.7109375" style="31" customWidth="1"/>
    <col min="8" max="8" width="15.28515625" style="31" customWidth="1"/>
    <col min="9" max="9" width="13.7109375" style="31" customWidth="1"/>
    <col min="10" max="10" width="15.85546875" style="31" customWidth="1"/>
    <col min="11" max="17" width="13.7109375" style="31" customWidth="1"/>
    <col min="18" max="27" width="12.7109375" style="31" customWidth="1"/>
    <col min="28" max="33" width="9.140625" style="31"/>
    <col min="34" max="34" width="11" style="31" customWidth="1"/>
    <col min="35" max="35" width="12.42578125" style="31" customWidth="1"/>
    <col min="36" max="36" width="10.42578125" style="31" customWidth="1"/>
    <col min="37" max="37" width="10.7109375" style="31" customWidth="1"/>
    <col min="38" max="38" width="12.42578125" style="31" customWidth="1"/>
    <col min="39" max="39" width="10.42578125" style="31" customWidth="1"/>
    <col min="40" max="40" width="11.7109375" style="31" customWidth="1"/>
    <col min="41" max="41" width="10.42578125" style="31" customWidth="1"/>
    <col min="42" max="43" width="9.140625" style="31"/>
    <col min="44" max="44" width="10.140625" style="31" customWidth="1"/>
    <col min="45" max="16384" width="9.140625" style="31"/>
  </cols>
  <sheetData>
    <row r="1" spans="1:53" x14ac:dyDescent="0.2">
      <c r="L1" s="32"/>
      <c r="O1" s="25"/>
      <c r="U1" s="78"/>
    </row>
    <row r="2" spans="1:53" ht="13.5" thickBot="1" x14ac:dyDescent="0.25">
      <c r="L2" s="32"/>
      <c r="O2" s="25"/>
      <c r="U2" s="78"/>
    </row>
    <row r="3" spans="1:53" ht="13.5" thickTop="1" x14ac:dyDescent="0.2">
      <c r="A3" s="43"/>
      <c r="B3" s="615" t="s">
        <v>262</v>
      </c>
      <c r="C3" s="616"/>
      <c r="D3" s="616"/>
      <c r="E3" s="616"/>
      <c r="F3" s="616"/>
      <c r="G3" s="616"/>
      <c r="H3" s="616"/>
      <c r="I3" s="616"/>
      <c r="J3" s="616"/>
      <c r="K3" s="74"/>
      <c r="L3" s="52"/>
      <c r="M3" s="52"/>
      <c r="N3" s="52"/>
      <c r="O3" s="52"/>
      <c r="P3" s="52"/>
      <c r="Q3" s="52"/>
      <c r="R3" s="52"/>
      <c r="S3" s="52"/>
      <c r="T3" s="52"/>
      <c r="U3" s="84"/>
      <c r="V3" s="84"/>
      <c r="W3" s="54"/>
      <c r="X3" s="54"/>
      <c r="Y3" s="54"/>
      <c r="AH3" s="54"/>
      <c r="AR3" s="54"/>
      <c r="AS3" s="54"/>
      <c r="AT3" s="54"/>
      <c r="AU3" s="54"/>
      <c r="AV3" s="54"/>
      <c r="AW3" s="54"/>
      <c r="AX3" s="54"/>
      <c r="AY3" s="54"/>
      <c r="AZ3" s="54"/>
      <c r="BA3" s="54"/>
    </row>
    <row r="4" spans="1:53" ht="13.5" thickBot="1" x14ac:dyDescent="0.25">
      <c r="A4" s="54"/>
      <c r="B4" s="617"/>
      <c r="C4" s="617"/>
      <c r="D4" s="617"/>
      <c r="E4" s="617"/>
      <c r="F4" s="617"/>
      <c r="G4" s="617"/>
      <c r="H4" s="617"/>
      <c r="I4" s="617"/>
      <c r="J4" s="617"/>
      <c r="K4" s="25"/>
      <c r="L4" s="52"/>
      <c r="M4" s="52"/>
      <c r="N4" s="52"/>
      <c r="O4" s="52"/>
      <c r="P4" s="52"/>
      <c r="Q4" s="52"/>
      <c r="R4" s="52"/>
      <c r="S4" s="52"/>
      <c r="T4" s="52"/>
      <c r="U4" s="84"/>
      <c r="V4" s="84"/>
      <c r="W4" s="25"/>
      <c r="X4" s="25"/>
      <c r="Y4" s="25"/>
      <c r="AR4" s="54"/>
      <c r="AS4" s="54"/>
      <c r="AT4" s="54"/>
      <c r="AU4" s="54"/>
      <c r="AV4" s="54"/>
      <c r="AW4" s="54"/>
      <c r="AX4" s="54"/>
      <c r="AY4" s="54"/>
      <c r="AZ4" s="54"/>
      <c r="BA4" s="54"/>
    </row>
    <row r="5" spans="1:53" x14ac:dyDescent="0.2">
      <c r="B5" s="602" t="s">
        <v>19</v>
      </c>
      <c r="C5" s="436"/>
      <c r="D5" s="50" t="s">
        <v>20</v>
      </c>
      <c r="E5" s="50" t="s">
        <v>21</v>
      </c>
      <c r="F5" s="50" t="s">
        <v>22</v>
      </c>
      <c r="G5" s="50" t="s">
        <v>23</v>
      </c>
      <c r="H5" s="50" t="s">
        <v>24</v>
      </c>
      <c r="I5" s="50" t="s">
        <v>25</v>
      </c>
      <c r="J5" s="109" t="s">
        <v>26</v>
      </c>
      <c r="K5" s="56"/>
      <c r="L5" s="51"/>
      <c r="M5" s="51"/>
      <c r="N5" s="51"/>
      <c r="O5" s="74"/>
      <c r="P5" s="74"/>
      <c r="Q5" s="74"/>
      <c r="R5" s="74"/>
      <c r="S5" s="74"/>
      <c r="T5" s="74"/>
      <c r="W5" s="74"/>
      <c r="X5" s="74"/>
      <c r="Y5" s="74"/>
      <c r="AH5" s="54"/>
      <c r="AI5" s="54"/>
      <c r="AJ5" s="54"/>
      <c r="AK5" s="25"/>
      <c r="AL5" s="54"/>
      <c r="AM5" s="25"/>
      <c r="AN5" s="25"/>
      <c r="AO5" s="25"/>
      <c r="AR5" s="54"/>
      <c r="AS5" s="54"/>
      <c r="AT5" s="54"/>
      <c r="AU5" s="54"/>
      <c r="AV5" s="54"/>
      <c r="AW5" s="54"/>
      <c r="AX5" s="54"/>
      <c r="AY5" s="54"/>
      <c r="AZ5" s="54"/>
      <c r="BA5" s="54"/>
    </row>
    <row r="6" spans="1:53" ht="12.75" customHeight="1" x14ac:dyDescent="0.2">
      <c r="B6" s="636" t="s">
        <v>241</v>
      </c>
      <c r="C6" s="637"/>
      <c r="D6" s="651" t="s">
        <v>50</v>
      </c>
      <c r="E6" s="652"/>
      <c r="F6" s="652"/>
      <c r="G6" s="626" t="s">
        <v>261</v>
      </c>
      <c r="H6" s="626" t="s">
        <v>37</v>
      </c>
      <c r="I6" s="626" t="s">
        <v>263</v>
      </c>
      <c r="J6" s="649" t="s">
        <v>264</v>
      </c>
      <c r="L6" s="84"/>
      <c r="M6" s="84"/>
      <c r="N6" s="84"/>
      <c r="O6" s="74"/>
      <c r="P6" s="74"/>
      <c r="Q6" s="74"/>
      <c r="S6" s="54"/>
      <c r="W6" s="54"/>
      <c r="X6" s="54"/>
      <c r="Y6" s="54"/>
      <c r="AH6" s="54"/>
      <c r="AI6" s="54"/>
      <c r="AJ6" s="25"/>
      <c r="AK6" s="25"/>
      <c r="AL6" s="25"/>
      <c r="AM6" s="25"/>
      <c r="AN6" s="25"/>
      <c r="AO6" s="25"/>
      <c r="AR6" s="54"/>
      <c r="AS6" s="54"/>
      <c r="AT6" s="54"/>
      <c r="AU6" s="54"/>
      <c r="AV6" s="54"/>
      <c r="AW6" s="54"/>
      <c r="AX6" s="54"/>
      <c r="AY6" s="54"/>
      <c r="AZ6" s="54"/>
      <c r="BA6" s="54"/>
    </row>
    <row r="7" spans="1:53" x14ac:dyDescent="0.2">
      <c r="B7" s="638"/>
      <c r="C7" s="628"/>
      <c r="D7" s="652"/>
      <c r="E7" s="652"/>
      <c r="F7" s="652"/>
      <c r="G7" s="437"/>
      <c r="H7" s="627"/>
      <c r="I7" s="437"/>
      <c r="J7" s="551"/>
      <c r="L7" s="48"/>
      <c r="M7" s="25"/>
      <c r="N7" s="25"/>
      <c r="O7" s="49"/>
      <c r="P7" s="49"/>
      <c r="Q7" s="49"/>
      <c r="R7" s="49"/>
      <c r="S7" s="49"/>
      <c r="T7" s="49"/>
      <c r="U7" s="49"/>
      <c r="V7" s="49"/>
      <c r="W7" s="25"/>
      <c r="X7" s="54"/>
      <c r="Y7" s="25"/>
      <c r="AH7" s="25"/>
      <c r="AI7" s="25"/>
      <c r="AJ7" s="25"/>
      <c r="AK7" s="25"/>
      <c r="AL7" s="105"/>
      <c r="AM7" s="105"/>
      <c r="AN7" s="105"/>
      <c r="AO7" s="105"/>
      <c r="AR7" s="33"/>
      <c r="AS7" s="30"/>
      <c r="AT7" s="30"/>
      <c r="AU7" s="30"/>
      <c r="AV7" s="30"/>
      <c r="AW7" s="30"/>
      <c r="AX7" s="30"/>
      <c r="AY7" s="30"/>
      <c r="AZ7" s="30"/>
      <c r="BA7" s="30"/>
    </row>
    <row r="8" spans="1:53" ht="12.75" customHeight="1" x14ac:dyDescent="0.2">
      <c r="B8" s="638"/>
      <c r="C8" s="628"/>
      <c r="D8" s="653"/>
      <c r="E8" s="653"/>
      <c r="F8" s="653"/>
      <c r="G8" s="437"/>
      <c r="H8" s="627"/>
      <c r="I8" s="628"/>
      <c r="J8" s="650"/>
      <c r="K8" s="57"/>
      <c r="O8" s="45"/>
      <c r="P8" s="45"/>
      <c r="Q8" s="45"/>
      <c r="R8" s="45"/>
      <c r="S8" s="45"/>
      <c r="T8" s="45"/>
      <c r="U8" s="45"/>
      <c r="V8" s="45"/>
      <c r="W8" s="25"/>
      <c r="X8" s="25"/>
      <c r="Y8" s="25"/>
      <c r="AH8" s="25"/>
      <c r="AI8" s="25"/>
      <c r="AJ8" s="25"/>
      <c r="AK8" s="25"/>
      <c r="AL8" s="106"/>
      <c r="AM8" s="106"/>
      <c r="AN8" s="106"/>
      <c r="AO8" s="106"/>
      <c r="AR8" s="33"/>
      <c r="AS8" s="30"/>
      <c r="AT8" s="30"/>
      <c r="AU8" s="30"/>
      <c r="AV8" s="30"/>
      <c r="AW8" s="30"/>
      <c r="AX8" s="30"/>
      <c r="AY8" s="30"/>
      <c r="AZ8" s="30"/>
      <c r="BA8" s="30"/>
    </row>
    <row r="9" spans="1:53" x14ac:dyDescent="0.2">
      <c r="A9" s="54"/>
      <c r="B9" s="638"/>
      <c r="C9" s="628"/>
      <c r="D9" s="648" t="s">
        <v>243</v>
      </c>
      <c r="E9" s="648" t="s">
        <v>278</v>
      </c>
      <c r="F9" s="648" t="s">
        <v>244</v>
      </c>
      <c r="G9" s="437"/>
      <c r="H9" s="627"/>
      <c r="I9" s="648" t="s">
        <v>265</v>
      </c>
      <c r="J9" s="646" t="s">
        <v>266</v>
      </c>
      <c r="K9" s="56"/>
      <c r="M9" s="86"/>
      <c r="N9" s="86"/>
      <c r="O9" s="87"/>
      <c r="P9" s="87"/>
      <c r="Q9" s="87"/>
      <c r="R9" s="42"/>
      <c r="S9" s="42"/>
      <c r="T9" s="42"/>
      <c r="U9" s="42"/>
      <c r="V9" s="42"/>
      <c r="AH9" s="48"/>
      <c r="AI9" s="25"/>
      <c r="AJ9" s="64"/>
      <c r="AK9" s="25"/>
      <c r="AL9" s="103"/>
      <c r="AM9" s="103"/>
      <c r="AN9" s="107"/>
      <c r="AO9" s="107"/>
      <c r="AR9" s="33"/>
      <c r="AS9" s="30"/>
      <c r="AT9" s="30"/>
      <c r="AU9" s="30"/>
      <c r="AV9" s="30"/>
      <c r="AW9" s="30"/>
      <c r="AX9" s="30"/>
      <c r="AY9" s="30"/>
      <c r="AZ9" s="30"/>
      <c r="BA9" s="30"/>
    </row>
    <row r="10" spans="1:53" x14ac:dyDescent="0.2">
      <c r="A10" s="54"/>
      <c r="B10" s="638"/>
      <c r="C10" s="628"/>
      <c r="D10" s="627"/>
      <c r="E10" s="627"/>
      <c r="F10" s="627"/>
      <c r="G10" s="628"/>
      <c r="H10" s="628"/>
      <c r="I10" s="648"/>
      <c r="J10" s="646"/>
      <c r="K10" s="56"/>
      <c r="M10" s="86"/>
      <c r="N10" s="86"/>
      <c r="O10" s="87"/>
      <c r="P10" s="87"/>
      <c r="Q10" s="87"/>
      <c r="R10" s="42"/>
      <c r="S10" s="42"/>
      <c r="T10" s="42"/>
      <c r="U10" s="42"/>
      <c r="V10" s="42"/>
      <c r="AH10" s="48"/>
      <c r="AI10" s="25"/>
      <c r="AJ10" s="64"/>
      <c r="AK10" s="25"/>
      <c r="AL10" s="103"/>
      <c r="AM10" s="103"/>
      <c r="AN10" s="107"/>
      <c r="AO10" s="107"/>
      <c r="AR10" s="33"/>
      <c r="AS10" s="30"/>
      <c r="AT10" s="30"/>
      <c r="AU10" s="30"/>
      <c r="AV10" s="30"/>
      <c r="AW10" s="30"/>
      <c r="AX10" s="30"/>
      <c r="AY10" s="30"/>
      <c r="AZ10" s="30"/>
      <c r="BA10" s="30"/>
    </row>
    <row r="11" spans="1:53" ht="13.5" thickBot="1" x14ac:dyDescent="0.25">
      <c r="A11" s="33"/>
      <c r="B11" s="639"/>
      <c r="C11" s="629"/>
      <c r="D11" s="629"/>
      <c r="E11" s="629"/>
      <c r="F11" s="629"/>
      <c r="G11" s="629"/>
      <c r="H11" s="629"/>
      <c r="I11" s="629"/>
      <c r="J11" s="647"/>
      <c r="K11" s="78"/>
      <c r="L11" s="85"/>
      <c r="M11" s="86"/>
      <c r="N11" s="86"/>
      <c r="O11" s="42"/>
      <c r="P11" s="42"/>
      <c r="Q11" s="42"/>
      <c r="R11" s="42"/>
      <c r="S11" s="42"/>
      <c r="T11" s="42"/>
      <c r="U11" s="42"/>
      <c r="V11" s="42"/>
      <c r="W11" s="10"/>
      <c r="X11" s="10"/>
      <c r="Y11" s="10"/>
      <c r="AH11" s="25"/>
      <c r="AI11" s="25"/>
      <c r="AJ11" s="25"/>
      <c r="AK11" s="25"/>
      <c r="AL11" s="103"/>
      <c r="AM11" s="103"/>
      <c r="AN11" s="103"/>
      <c r="AO11" s="103"/>
      <c r="AR11" s="33"/>
      <c r="AS11" s="30"/>
      <c r="AT11" s="30"/>
      <c r="AU11" s="30"/>
      <c r="AV11" s="30"/>
      <c r="AW11" s="30"/>
      <c r="AX11" s="30"/>
      <c r="AY11" s="30"/>
      <c r="AZ11" s="30"/>
      <c r="BA11" s="30"/>
    </row>
    <row r="12" spans="1:53" x14ac:dyDescent="0.2">
      <c r="A12" s="33"/>
      <c r="B12" s="625" t="s">
        <v>395</v>
      </c>
      <c r="C12" s="625"/>
      <c r="D12" s="625"/>
      <c r="E12" s="625"/>
      <c r="F12" s="625"/>
      <c r="G12" s="625"/>
      <c r="H12" s="625"/>
      <c r="I12" s="625"/>
      <c r="J12" s="625"/>
      <c r="K12" s="78"/>
      <c r="L12" s="85"/>
      <c r="M12" s="86"/>
      <c r="N12" s="86"/>
      <c r="O12" s="42"/>
      <c r="P12" s="42"/>
      <c r="Q12" s="42"/>
      <c r="R12" s="42"/>
      <c r="S12" s="42"/>
      <c r="T12" s="42"/>
      <c r="U12" s="42"/>
      <c r="V12" s="42"/>
      <c r="W12" s="10"/>
      <c r="X12" s="10"/>
      <c r="Y12" s="10"/>
      <c r="AH12" s="25"/>
      <c r="AI12" s="25"/>
      <c r="AJ12" s="25"/>
      <c r="AK12" s="25"/>
      <c r="AL12" s="103"/>
      <c r="AM12" s="103"/>
      <c r="AN12" s="103"/>
      <c r="AO12" s="103"/>
      <c r="AR12" s="33"/>
      <c r="AS12" s="30"/>
      <c r="AT12" s="30"/>
      <c r="AU12" s="30"/>
      <c r="AV12" s="30"/>
      <c r="AW12" s="30"/>
      <c r="AX12" s="30"/>
      <c r="AY12" s="30"/>
      <c r="AZ12" s="30"/>
      <c r="BA12" s="30"/>
    </row>
    <row r="13" spans="1:53" x14ac:dyDescent="0.2">
      <c r="A13" s="33"/>
      <c r="B13" s="612" t="s">
        <v>382</v>
      </c>
      <c r="C13" s="427"/>
      <c r="D13" s="68">
        <f ca="1">IFERROR(INDIRECT(B13 &amp; "!" &amp; "$D$68"),0)</f>
        <v>0.16884659260808729</v>
      </c>
      <c r="E13" s="68">
        <f ca="1">IFERROR(INDIRECT(B13 &amp; "!" &amp; "$D$69"),0)</f>
        <v>0.10867750600616373</v>
      </c>
      <c r="F13" s="68">
        <f ca="1">IFERROR(INDIRECT(B13 &amp; "!" &amp; "$D$71"),0)</f>
        <v>6.0169086601923563E-2</v>
      </c>
      <c r="G13" s="211">
        <v>0</v>
      </c>
      <c r="H13" s="68">
        <f ca="1">IFERROR(INDIRECT(B13 &amp; "!" &amp; "$H$37"),0)</f>
        <v>0.21246032795994022</v>
      </c>
      <c r="I13" s="114">
        <f ca="1">1/(1+H13*D13)</f>
        <v>0.96536911819330939</v>
      </c>
      <c r="J13" s="70">
        <f ca="1">+I13*+D13+((1-I13)*G13)</f>
        <v>0.16299928621601417</v>
      </c>
      <c r="K13" s="78"/>
      <c r="L13" s="85"/>
      <c r="M13" s="86"/>
      <c r="N13" s="86"/>
      <c r="O13" s="42"/>
      <c r="P13" s="42"/>
      <c r="Q13" s="42"/>
      <c r="R13" s="42"/>
      <c r="S13" s="42"/>
      <c r="T13" s="42"/>
      <c r="U13" s="42"/>
      <c r="V13" s="42"/>
      <c r="W13" s="10"/>
      <c r="X13" s="10"/>
      <c r="Y13" s="10"/>
      <c r="AH13" s="65"/>
      <c r="AI13" s="44"/>
      <c r="AJ13" s="64"/>
      <c r="AK13" s="25"/>
      <c r="AL13" s="103"/>
      <c r="AM13" s="103"/>
      <c r="AN13" s="107"/>
      <c r="AO13" s="107"/>
      <c r="AR13" s="99"/>
    </row>
    <row r="14" spans="1:53" x14ac:dyDescent="0.2">
      <c r="A14" s="33"/>
      <c r="B14" s="612" t="s">
        <v>404</v>
      </c>
      <c r="C14" s="427"/>
      <c r="D14" s="68">
        <f t="shared" ref="D14:D20" ca="1" si="0">IFERROR(INDIRECT(B14 &amp; "!" &amp; "$D$68"),0)</f>
        <v>0</v>
      </c>
      <c r="E14" s="68">
        <f t="shared" ref="E14:E20" ca="1" si="1">IFERROR(INDIRECT(B14 &amp; "!" &amp; "$D$69"),0)</f>
        <v>0</v>
      </c>
      <c r="F14" s="68">
        <f t="shared" ref="F14:F20" ca="1" si="2">IFERROR(INDIRECT(B14 &amp; "!" &amp; "$D$71"),0)</f>
        <v>0</v>
      </c>
      <c r="G14" s="211">
        <v>0</v>
      </c>
      <c r="H14" s="68">
        <f t="shared" ref="H14:H20" ca="1" si="3">IFERROR(INDIRECT(B14 &amp; "!" &amp; "$H$37"),0)</f>
        <v>0</v>
      </c>
      <c r="I14" s="114">
        <f t="shared" ref="I14:I20" ca="1" si="4">1/(1+H14*D14)</f>
        <v>1</v>
      </c>
      <c r="J14" s="209">
        <f t="shared" ref="J14:J20" ca="1" si="5">+I14*+D14+((1-I14)*G14)</f>
        <v>0</v>
      </c>
      <c r="K14" s="78"/>
      <c r="L14" s="85"/>
      <c r="M14" s="86"/>
      <c r="N14" s="86"/>
      <c r="O14" s="42"/>
      <c r="P14" s="42"/>
      <c r="Q14" s="42"/>
      <c r="R14" s="42"/>
      <c r="S14" s="42"/>
      <c r="T14" s="42"/>
      <c r="U14" s="42"/>
      <c r="V14" s="42"/>
      <c r="W14" s="10"/>
      <c r="X14" s="10"/>
      <c r="Y14" s="10"/>
      <c r="AH14" s="44"/>
      <c r="AI14" s="44"/>
      <c r="AJ14" s="25"/>
      <c r="AK14" s="25"/>
      <c r="AL14" s="103"/>
      <c r="AM14" s="103"/>
      <c r="AN14" s="103"/>
      <c r="AO14" s="103"/>
    </row>
    <row r="15" spans="1:53" x14ac:dyDescent="0.2">
      <c r="A15" s="33"/>
      <c r="B15" s="612" t="s">
        <v>405</v>
      </c>
      <c r="C15" s="427"/>
      <c r="D15" s="68">
        <f t="shared" ca="1" si="0"/>
        <v>0</v>
      </c>
      <c r="E15" s="68">
        <f t="shared" ca="1" si="1"/>
        <v>0</v>
      </c>
      <c r="F15" s="68">
        <f t="shared" ca="1" si="2"/>
        <v>0</v>
      </c>
      <c r="G15" s="212">
        <v>0</v>
      </c>
      <c r="H15" s="68">
        <f t="shared" ca="1" si="3"/>
        <v>0</v>
      </c>
      <c r="I15" s="114">
        <f t="shared" ca="1" si="4"/>
        <v>1</v>
      </c>
      <c r="J15" s="209">
        <f t="shared" ca="1" si="5"/>
        <v>0</v>
      </c>
      <c r="K15" s="78"/>
      <c r="L15" s="85"/>
      <c r="M15" s="86"/>
      <c r="N15" s="86"/>
      <c r="O15" s="42"/>
      <c r="P15" s="42"/>
      <c r="Q15" s="42"/>
      <c r="R15" s="42"/>
      <c r="S15" s="42"/>
      <c r="T15" s="42"/>
      <c r="U15" s="42"/>
      <c r="V15" s="42"/>
      <c r="W15" s="10"/>
      <c r="X15" s="10"/>
      <c r="Y15" s="10"/>
      <c r="AH15" s="44"/>
      <c r="AI15" s="44"/>
      <c r="AJ15" s="64"/>
      <c r="AK15" s="30"/>
      <c r="AL15" s="30"/>
      <c r="AM15" s="30"/>
      <c r="AN15" s="30"/>
      <c r="AO15" s="30"/>
    </row>
    <row r="16" spans="1:53" x14ac:dyDescent="0.2">
      <c r="A16" s="33"/>
      <c r="B16" s="612" t="s">
        <v>406</v>
      </c>
      <c r="C16" s="427"/>
      <c r="D16" s="68">
        <f t="shared" ca="1" si="0"/>
        <v>0</v>
      </c>
      <c r="E16" s="68">
        <f t="shared" ca="1" si="1"/>
        <v>0</v>
      </c>
      <c r="F16" s="68">
        <f t="shared" ca="1" si="2"/>
        <v>0</v>
      </c>
      <c r="G16" s="213">
        <v>0</v>
      </c>
      <c r="H16" s="68">
        <f t="shared" ca="1" si="3"/>
        <v>0</v>
      </c>
      <c r="I16" s="114">
        <f t="shared" ca="1" si="4"/>
        <v>1</v>
      </c>
      <c r="J16" s="209">
        <f t="shared" ca="1" si="5"/>
        <v>0</v>
      </c>
      <c r="K16" s="78"/>
      <c r="L16" s="85"/>
      <c r="M16" s="86"/>
      <c r="N16" s="86"/>
      <c r="O16" s="42"/>
      <c r="P16" s="42"/>
      <c r="Q16" s="42"/>
      <c r="R16" s="42"/>
      <c r="S16" s="42"/>
      <c r="T16" s="42"/>
      <c r="U16" s="42"/>
      <c r="V16" s="42"/>
      <c r="W16" s="10"/>
      <c r="X16" s="10"/>
      <c r="Y16" s="10"/>
      <c r="AH16" s="97"/>
      <c r="AI16" s="97"/>
      <c r="AJ16" s="90"/>
      <c r="AK16" s="90"/>
      <c r="AL16" s="90"/>
      <c r="AM16" s="90"/>
      <c r="AN16" s="90"/>
      <c r="AO16" s="90"/>
    </row>
    <row r="17" spans="1:53" x14ac:dyDescent="0.2">
      <c r="A17" s="33"/>
      <c r="B17" s="612" t="s">
        <v>407</v>
      </c>
      <c r="C17" s="427"/>
      <c r="D17" s="68">
        <f t="shared" ca="1" si="0"/>
        <v>0</v>
      </c>
      <c r="E17" s="68">
        <f t="shared" ca="1" si="1"/>
        <v>0</v>
      </c>
      <c r="F17" s="68">
        <f t="shared" ca="1" si="2"/>
        <v>0</v>
      </c>
      <c r="G17" s="212">
        <v>0</v>
      </c>
      <c r="H17" s="68">
        <f t="shared" ca="1" si="3"/>
        <v>0</v>
      </c>
      <c r="I17" s="114">
        <f t="shared" ca="1" si="4"/>
        <v>1</v>
      </c>
      <c r="J17" s="209">
        <f t="shared" ca="1" si="5"/>
        <v>0</v>
      </c>
      <c r="K17" s="78"/>
      <c r="L17" s="33"/>
      <c r="O17" s="42"/>
      <c r="P17" s="42"/>
      <c r="Q17" s="42"/>
      <c r="R17" s="42"/>
      <c r="S17" s="42"/>
      <c r="T17" s="42"/>
      <c r="U17" s="42"/>
      <c r="V17" s="42"/>
      <c r="W17" s="10"/>
      <c r="X17" s="10"/>
      <c r="Y17" s="10"/>
      <c r="AH17" s="90"/>
      <c r="AI17" s="90"/>
      <c r="AJ17" s="90"/>
      <c r="AK17" s="90"/>
      <c r="AL17" s="90"/>
      <c r="AM17" s="90"/>
      <c r="AN17" s="90"/>
      <c r="AO17" s="90"/>
      <c r="AR17" s="33"/>
      <c r="AV17" s="30"/>
    </row>
    <row r="18" spans="1:53" x14ac:dyDescent="0.2">
      <c r="A18" s="33"/>
      <c r="B18" s="612" t="s">
        <v>408</v>
      </c>
      <c r="C18" s="427"/>
      <c r="D18" s="68">
        <f t="shared" ca="1" si="0"/>
        <v>0</v>
      </c>
      <c r="E18" s="68">
        <f t="shared" ca="1" si="1"/>
        <v>0</v>
      </c>
      <c r="F18" s="68">
        <f t="shared" ca="1" si="2"/>
        <v>0</v>
      </c>
      <c r="G18" s="214">
        <v>0</v>
      </c>
      <c r="H18" s="68">
        <f t="shared" ca="1" si="3"/>
        <v>0</v>
      </c>
      <c r="I18" s="114">
        <f t="shared" ca="1" si="4"/>
        <v>1</v>
      </c>
      <c r="J18" s="209">
        <f t="shared" ca="1" si="5"/>
        <v>0</v>
      </c>
      <c r="K18" s="78"/>
      <c r="L18" s="88"/>
      <c r="M18" s="53"/>
      <c r="N18" s="53"/>
      <c r="O18" s="53"/>
      <c r="P18" s="53"/>
      <c r="Q18" s="53"/>
      <c r="R18" s="53"/>
      <c r="S18" s="53"/>
      <c r="T18" s="53"/>
      <c r="U18" s="53"/>
      <c r="V18" s="53"/>
      <c r="W18" s="10"/>
      <c r="X18" s="10"/>
      <c r="Y18" s="10"/>
      <c r="AH18" s="90"/>
      <c r="AI18" s="97"/>
      <c r="AJ18" s="90"/>
      <c r="AK18" s="90"/>
      <c r="AL18" s="90"/>
      <c r="AM18" s="90"/>
      <c r="AN18" s="90"/>
      <c r="AO18" s="90"/>
    </row>
    <row r="19" spans="1:53" x14ac:dyDescent="0.2">
      <c r="A19" s="33"/>
      <c r="B19" s="612" t="s">
        <v>409</v>
      </c>
      <c r="C19" s="427"/>
      <c r="D19" s="68">
        <f t="shared" ca="1" si="0"/>
        <v>0</v>
      </c>
      <c r="E19" s="68">
        <f t="shared" ca="1" si="1"/>
        <v>0</v>
      </c>
      <c r="F19" s="68">
        <f t="shared" ca="1" si="2"/>
        <v>0</v>
      </c>
      <c r="G19" s="212">
        <v>0</v>
      </c>
      <c r="H19" s="68">
        <f t="shared" ca="1" si="3"/>
        <v>0</v>
      </c>
      <c r="I19" s="114">
        <f t="shared" ca="1" si="4"/>
        <v>1</v>
      </c>
      <c r="J19" s="209">
        <f t="shared" ca="1" si="5"/>
        <v>0</v>
      </c>
      <c r="K19" s="76"/>
      <c r="L19" s="25"/>
      <c r="M19" s="25"/>
      <c r="N19" s="25"/>
      <c r="O19" s="25"/>
      <c r="P19" s="25"/>
      <c r="Q19" s="25"/>
      <c r="R19" s="25"/>
      <c r="S19" s="25"/>
      <c r="T19" s="25"/>
      <c r="U19" s="25"/>
      <c r="V19" s="25"/>
      <c r="W19" s="10"/>
      <c r="X19" s="10"/>
      <c r="Y19" s="10"/>
      <c r="AH19" s="90"/>
      <c r="AI19" s="90"/>
      <c r="AJ19" s="90"/>
      <c r="AK19" s="90"/>
      <c r="AL19" s="90"/>
      <c r="AM19" s="90"/>
      <c r="AN19" s="90"/>
      <c r="AO19" s="90"/>
      <c r="AR19" s="33"/>
      <c r="AV19" s="30"/>
    </row>
    <row r="20" spans="1:53" ht="13.5" thickBot="1" x14ac:dyDescent="0.25">
      <c r="B20" s="612" t="s">
        <v>410</v>
      </c>
      <c r="C20" s="427"/>
      <c r="D20" s="68">
        <f t="shared" ca="1" si="0"/>
        <v>0</v>
      </c>
      <c r="E20" s="68">
        <f t="shared" ca="1" si="1"/>
        <v>0</v>
      </c>
      <c r="F20" s="68">
        <f t="shared" ca="1" si="2"/>
        <v>0</v>
      </c>
      <c r="G20" s="215">
        <v>0</v>
      </c>
      <c r="H20" s="68">
        <f t="shared" ca="1" si="3"/>
        <v>0</v>
      </c>
      <c r="I20" s="114">
        <f t="shared" ca="1" si="4"/>
        <v>1</v>
      </c>
      <c r="J20" s="209">
        <f t="shared" ca="1" si="5"/>
        <v>0</v>
      </c>
      <c r="K20" s="75"/>
      <c r="L20" s="52"/>
      <c r="M20" s="52"/>
      <c r="N20" s="52"/>
      <c r="O20" s="52"/>
      <c r="P20" s="52"/>
      <c r="Q20" s="52"/>
      <c r="R20" s="52"/>
      <c r="S20" s="52"/>
      <c r="T20" s="52"/>
      <c r="U20" s="84"/>
      <c r="V20" s="84"/>
      <c r="W20" s="10"/>
      <c r="X20" s="10"/>
      <c r="Y20" s="10"/>
    </row>
    <row r="21" spans="1:53" ht="13.5" thickBot="1" x14ac:dyDescent="0.25">
      <c r="B21" s="641" t="s">
        <v>362</v>
      </c>
      <c r="C21" s="642"/>
      <c r="D21" s="160">
        <f ca="1">SUM(D13:D20)</f>
        <v>0.16884659260808729</v>
      </c>
      <c r="E21" s="160">
        <f ca="1">SUM(E13:E20)</f>
        <v>0.10867750600616373</v>
      </c>
      <c r="F21" s="160">
        <f ca="1">SUM(F13:F20)</f>
        <v>6.0169086601923563E-2</v>
      </c>
      <c r="G21" s="216">
        <f>SUM(G13:G20)</f>
        <v>0</v>
      </c>
      <c r="H21" s="160"/>
      <c r="I21" s="161"/>
      <c r="J21" s="162">
        <f ca="1">SUM(J13:J20)</f>
        <v>0.16299928621601417</v>
      </c>
      <c r="K21" s="75"/>
      <c r="L21" s="52"/>
      <c r="M21" s="52"/>
      <c r="N21" s="52"/>
      <c r="O21" s="52"/>
      <c r="P21" s="52"/>
      <c r="Q21" s="52"/>
      <c r="R21" s="52"/>
      <c r="S21" s="52"/>
      <c r="T21" s="52"/>
      <c r="U21" s="84"/>
      <c r="V21" s="84"/>
      <c r="W21" s="10"/>
      <c r="X21" s="10"/>
      <c r="Y21" s="10"/>
    </row>
    <row r="22" spans="1:53" s="208" customFormat="1" x14ac:dyDescent="0.2">
      <c r="A22" s="33"/>
      <c r="B22" s="625" t="s">
        <v>396</v>
      </c>
      <c r="C22" s="625"/>
      <c r="D22" s="625"/>
      <c r="E22" s="625"/>
      <c r="F22" s="625"/>
      <c r="G22" s="625"/>
      <c r="H22" s="625"/>
      <c r="I22" s="625"/>
      <c r="J22" s="625"/>
      <c r="K22" s="78"/>
      <c r="L22" s="85"/>
      <c r="M22" s="86"/>
      <c r="N22" s="86"/>
      <c r="O22" s="42"/>
      <c r="P22" s="42"/>
      <c r="Q22" s="42"/>
      <c r="R22" s="42"/>
      <c r="S22" s="42"/>
      <c r="T22" s="42"/>
      <c r="U22" s="42"/>
      <c r="V22" s="42"/>
      <c r="W22" s="10"/>
      <c r="X22" s="10"/>
      <c r="Y22" s="10"/>
      <c r="AH22" s="25"/>
      <c r="AI22" s="25"/>
      <c r="AJ22" s="25"/>
      <c r="AK22" s="25"/>
      <c r="AL22" s="103"/>
      <c r="AM22" s="103"/>
      <c r="AN22" s="103"/>
      <c r="AO22" s="103"/>
      <c r="AR22" s="33"/>
      <c r="AS22" s="30"/>
      <c r="AT22" s="30"/>
      <c r="AU22" s="30"/>
      <c r="AV22" s="30"/>
      <c r="AW22" s="30"/>
      <c r="AX22" s="30"/>
      <c r="AY22" s="30"/>
      <c r="AZ22" s="30"/>
      <c r="BA22" s="30"/>
    </row>
    <row r="23" spans="1:53" s="208" customFormat="1" x14ac:dyDescent="0.2">
      <c r="A23" s="33"/>
      <c r="B23" s="612" t="s">
        <v>383</v>
      </c>
      <c r="C23" s="427"/>
      <c r="D23" s="68">
        <f ca="1">IFERROR(INDIRECT(B23 &amp; "!" &amp; "$D$68"),0)</f>
        <v>0.21664834022453872</v>
      </c>
      <c r="E23" s="68">
        <f ca="1">IFERROR(INDIRECT(B23 &amp; "!" &amp; "$D$69"),0)</f>
        <v>0.15677937373225564</v>
      </c>
      <c r="F23" s="68">
        <f ca="1">IFERROR(INDIRECT(B23 &amp; "!" &amp; "$D$71"),0)</f>
        <v>5.9868966492283071E-2</v>
      </c>
      <c r="G23" s="211">
        <v>0</v>
      </c>
      <c r="H23" s="68">
        <f ca="1">IFERROR(INDIRECT(B23 &amp; "!" &amp; "$H$47"),0)</f>
        <v>0</v>
      </c>
      <c r="I23" s="114">
        <f ca="1">1/(1+H23*D23)</f>
        <v>1</v>
      </c>
      <c r="J23" s="209">
        <f ca="1">+I23*+D23+((1-I23)*G23)</f>
        <v>0.21664834022453872</v>
      </c>
      <c r="K23" s="78"/>
      <c r="L23" s="85"/>
      <c r="M23" s="86"/>
      <c r="N23" s="86"/>
      <c r="O23" s="42"/>
      <c r="P23" s="42"/>
      <c r="Q23" s="42"/>
      <c r="R23" s="42"/>
      <c r="S23" s="42"/>
      <c r="T23" s="42"/>
      <c r="U23" s="42"/>
      <c r="V23" s="42"/>
      <c r="W23" s="10"/>
      <c r="X23" s="10"/>
      <c r="Y23" s="10"/>
      <c r="AH23" s="65"/>
      <c r="AI23" s="44"/>
      <c r="AJ23" s="64"/>
      <c r="AK23" s="25"/>
      <c r="AL23" s="103"/>
      <c r="AM23" s="103"/>
      <c r="AN23" s="107"/>
      <c r="AO23" s="107"/>
      <c r="AR23" s="99"/>
    </row>
    <row r="24" spans="1:53" s="208" customFormat="1" x14ac:dyDescent="0.2">
      <c r="A24" s="33"/>
      <c r="B24" s="612" t="s">
        <v>411</v>
      </c>
      <c r="C24" s="427"/>
      <c r="D24" s="68">
        <f t="shared" ref="D24:D30" ca="1" si="6">IFERROR(INDIRECT(B24 &amp; "!" &amp; "$D$68"),0)</f>
        <v>0</v>
      </c>
      <c r="E24" s="68">
        <f t="shared" ref="E24:E30" ca="1" si="7">IFERROR(INDIRECT(B24 &amp; "!" &amp; "$D$69"),0)</f>
        <v>0</v>
      </c>
      <c r="F24" s="68">
        <f t="shared" ref="F24:F30" ca="1" si="8">IFERROR(INDIRECT(B24 &amp; "!" &amp; "$D$71"),0)</f>
        <v>0</v>
      </c>
      <c r="G24" s="211">
        <v>0</v>
      </c>
      <c r="H24" s="68">
        <f t="shared" ref="H24:H30" ca="1" si="9">IFERROR(INDIRECT(B24 &amp; "!" &amp; "$H$47"),0)</f>
        <v>0</v>
      </c>
      <c r="I24" s="114">
        <f ca="1">1/(1+H24*D24)</f>
        <v>1</v>
      </c>
      <c r="J24" s="209">
        <f ca="1">+I24*+D24+((1-I24)*G24)</f>
        <v>0</v>
      </c>
      <c r="K24" s="78"/>
      <c r="L24" s="85"/>
      <c r="M24" s="86"/>
      <c r="N24" s="86"/>
      <c r="O24" s="42"/>
      <c r="P24" s="42"/>
      <c r="Q24" s="42"/>
      <c r="R24" s="42"/>
      <c r="S24" s="42"/>
      <c r="T24" s="42"/>
      <c r="U24" s="42"/>
      <c r="V24" s="42"/>
      <c r="W24" s="10"/>
      <c r="X24" s="10"/>
      <c r="Y24" s="10"/>
      <c r="AH24" s="44"/>
      <c r="AI24" s="44"/>
      <c r="AJ24" s="25"/>
      <c r="AK24" s="25"/>
      <c r="AL24" s="103"/>
      <c r="AM24" s="103"/>
      <c r="AN24" s="103"/>
      <c r="AO24" s="103"/>
    </row>
    <row r="25" spans="1:53" s="208" customFormat="1" x14ac:dyDescent="0.2">
      <c r="A25" s="33"/>
      <c r="B25" s="612" t="s">
        <v>412</v>
      </c>
      <c r="C25" s="427"/>
      <c r="D25" s="68">
        <f t="shared" ca="1" si="6"/>
        <v>0</v>
      </c>
      <c r="E25" s="68">
        <f t="shared" ca="1" si="7"/>
        <v>0</v>
      </c>
      <c r="F25" s="68">
        <f t="shared" ca="1" si="8"/>
        <v>0</v>
      </c>
      <c r="G25" s="212">
        <v>0</v>
      </c>
      <c r="H25" s="68">
        <f t="shared" ca="1" si="9"/>
        <v>0</v>
      </c>
      <c r="I25" s="114">
        <f t="shared" ref="I25:I30" ca="1" si="10">1/(1+H25*D25)</f>
        <v>1</v>
      </c>
      <c r="J25" s="209">
        <f t="shared" ref="J25:J30" ca="1" si="11">+I25*+D25+((1-I25)*G25)</f>
        <v>0</v>
      </c>
      <c r="K25" s="78"/>
      <c r="L25" s="85"/>
      <c r="M25" s="86"/>
      <c r="N25" s="86"/>
      <c r="O25" s="42"/>
      <c r="P25" s="42"/>
      <c r="Q25" s="42"/>
      <c r="R25" s="42"/>
      <c r="S25" s="42"/>
      <c r="T25" s="42"/>
      <c r="U25" s="42"/>
      <c r="V25" s="42"/>
      <c r="W25" s="10"/>
      <c r="X25" s="10"/>
      <c r="Y25" s="10"/>
      <c r="AH25" s="44"/>
      <c r="AI25" s="44"/>
      <c r="AJ25" s="64"/>
      <c r="AK25" s="30"/>
      <c r="AL25" s="30"/>
      <c r="AM25" s="30"/>
      <c r="AN25" s="30"/>
      <c r="AO25" s="30"/>
    </row>
    <row r="26" spans="1:53" s="208" customFormat="1" x14ac:dyDescent="0.2">
      <c r="A26" s="33"/>
      <c r="B26" s="612" t="s">
        <v>413</v>
      </c>
      <c r="C26" s="427"/>
      <c r="D26" s="68">
        <f t="shared" ca="1" si="6"/>
        <v>0</v>
      </c>
      <c r="E26" s="68">
        <f t="shared" ca="1" si="7"/>
        <v>0</v>
      </c>
      <c r="F26" s="68">
        <f t="shared" ca="1" si="8"/>
        <v>0</v>
      </c>
      <c r="G26" s="213">
        <v>0</v>
      </c>
      <c r="H26" s="68">
        <f t="shared" ca="1" si="9"/>
        <v>0</v>
      </c>
      <c r="I26" s="114">
        <f t="shared" ca="1" si="10"/>
        <v>1</v>
      </c>
      <c r="J26" s="209">
        <f ca="1">+I26*+D26+((1-I26)*G26)</f>
        <v>0</v>
      </c>
      <c r="K26" s="78"/>
      <c r="L26" s="85"/>
      <c r="M26" s="86"/>
      <c r="N26" s="86"/>
      <c r="O26" s="42"/>
      <c r="P26" s="42"/>
      <c r="Q26" s="42"/>
      <c r="R26" s="42"/>
      <c r="S26" s="42"/>
      <c r="T26" s="42"/>
      <c r="U26" s="42"/>
      <c r="V26" s="42"/>
      <c r="W26" s="10"/>
      <c r="X26" s="10"/>
      <c r="Y26" s="10"/>
      <c r="AH26" s="97"/>
      <c r="AI26" s="97"/>
      <c r="AJ26" s="207"/>
      <c r="AK26" s="207"/>
      <c r="AL26" s="207"/>
      <c r="AM26" s="207"/>
      <c r="AN26" s="207"/>
      <c r="AO26" s="207"/>
    </row>
    <row r="27" spans="1:53" s="208" customFormat="1" x14ac:dyDescent="0.2">
      <c r="A27" s="33"/>
      <c r="B27" s="612" t="s">
        <v>414</v>
      </c>
      <c r="C27" s="427"/>
      <c r="D27" s="68">
        <f t="shared" ca="1" si="6"/>
        <v>0</v>
      </c>
      <c r="E27" s="68">
        <f t="shared" ca="1" si="7"/>
        <v>0</v>
      </c>
      <c r="F27" s="68">
        <f t="shared" ca="1" si="8"/>
        <v>0</v>
      </c>
      <c r="G27" s="212">
        <v>0</v>
      </c>
      <c r="H27" s="68">
        <f t="shared" ca="1" si="9"/>
        <v>0</v>
      </c>
      <c r="I27" s="114">
        <f t="shared" ca="1" si="10"/>
        <v>1</v>
      </c>
      <c r="J27" s="209">
        <f t="shared" ca="1" si="11"/>
        <v>0</v>
      </c>
      <c r="K27" s="78"/>
      <c r="L27" s="33"/>
      <c r="O27" s="42"/>
      <c r="P27" s="42"/>
      <c r="Q27" s="42"/>
      <c r="R27" s="42"/>
      <c r="S27" s="42"/>
      <c r="T27" s="42"/>
      <c r="U27" s="42"/>
      <c r="V27" s="42"/>
      <c r="W27" s="10"/>
      <c r="X27" s="10"/>
      <c r="Y27" s="10"/>
      <c r="AH27" s="207"/>
      <c r="AI27" s="207"/>
      <c r="AJ27" s="207"/>
      <c r="AK27" s="207"/>
      <c r="AL27" s="207"/>
      <c r="AM27" s="207"/>
      <c r="AN27" s="207"/>
      <c r="AO27" s="207"/>
      <c r="AR27" s="33"/>
      <c r="AV27" s="30"/>
    </row>
    <row r="28" spans="1:53" s="208" customFormat="1" x14ac:dyDescent="0.2">
      <c r="A28" s="33"/>
      <c r="B28" s="612" t="s">
        <v>415</v>
      </c>
      <c r="C28" s="427"/>
      <c r="D28" s="68">
        <f t="shared" ca="1" si="6"/>
        <v>0</v>
      </c>
      <c r="E28" s="68">
        <f t="shared" ca="1" si="7"/>
        <v>0</v>
      </c>
      <c r="F28" s="68">
        <f t="shared" ca="1" si="8"/>
        <v>0</v>
      </c>
      <c r="G28" s="214">
        <v>0</v>
      </c>
      <c r="H28" s="68">
        <f ca="1">IFERROR(INDIRECT(B28 &amp; "!" &amp; "$H$47"),0)</f>
        <v>0</v>
      </c>
      <c r="I28" s="114">
        <f ca="1">1/(1+H28*D28)</f>
        <v>1</v>
      </c>
      <c r="J28" s="209">
        <f ca="1">+I28*+D28+((1-I28)*G28)</f>
        <v>0</v>
      </c>
      <c r="K28" s="78"/>
      <c r="L28" s="88"/>
      <c r="M28" s="53"/>
      <c r="N28" s="53"/>
      <c r="O28" s="53"/>
      <c r="P28" s="53"/>
      <c r="Q28" s="53"/>
      <c r="R28" s="53"/>
      <c r="S28" s="53"/>
      <c r="T28" s="53"/>
      <c r="U28" s="53"/>
      <c r="V28" s="53"/>
      <c r="W28" s="10"/>
      <c r="X28" s="10"/>
      <c r="Y28" s="10"/>
      <c r="AH28" s="207"/>
      <c r="AI28" s="97"/>
      <c r="AJ28" s="207"/>
      <c r="AK28" s="207"/>
      <c r="AL28" s="207"/>
      <c r="AM28" s="207"/>
      <c r="AN28" s="207"/>
      <c r="AO28" s="207"/>
    </row>
    <row r="29" spans="1:53" s="208" customFormat="1" x14ac:dyDescent="0.2">
      <c r="A29" s="33"/>
      <c r="B29" s="612" t="s">
        <v>416</v>
      </c>
      <c r="C29" s="427"/>
      <c r="D29" s="68">
        <f t="shared" ca="1" si="6"/>
        <v>0</v>
      </c>
      <c r="E29" s="68">
        <f t="shared" ca="1" si="7"/>
        <v>0</v>
      </c>
      <c r="F29" s="68">
        <f t="shared" ca="1" si="8"/>
        <v>0</v>
      </c>
      <c r="G29" s="212">
        <v>0</v>
      </c>
      <c r="H29" s="68">
        <f t="shared" ca="1" si="9"/>
        <v>0</v>
      </c>
      <c r="I29" s="114">
        <f t="shared" ca="1" si="10"/>
        <v>1</v>
      </c>
      <c r="J29" s="209">
        <f t="shared" ca="1" si="11"/>
        <v>0</v>
      </c>
      <c r="K29" s="76"/>
      <c r="L29" s="25"/>
      <c r="M29" s="25"/>
      <c r="N29" s="25"/>
      <c r="O29" s="25"/>
      <c r="P29" s="25"/>
      <c r="Q29" s="25"/>
      <c r="R29" s="25"/>
      <c r="S29" s="25"/>
      <c r="T29" s="25"/>
      <c r="U29" s="25"/>
      <c r="V29" s="25"/>
      <c r="W29" s="10"/>
      <c r="X29" s="10"/>
      <c r="Y29" s="10"/>
      <c r="AH29" s="207"/>
      <c r="AI29" s="207"/>
      <c r="AJ29" s="207"/>
      <c r="AK29" s="207"/>
      <c r="AL29" s="207"/>
      <c r="AM29" s="207"/>
      <c r="AN29" s="207"/>
      <c r="AO29" s="207"/>
      <c r="AR29" s="33"/>
      <c r="AV29" s="30"/>
    </row>
    <row r="30" spans="1:53" s="208" customFormat="1" ht="13.5" thickBot="1" x14ac:dyDescent="0.25">
      <c r="B30" s="612" t="s">
        <v>417</v>
      </c>
      <c r="C30" s="427"/>
      <c r="D30" s="68">
        <f t="shared" ca="1" si="6"/>
        <v>0</v>
      </c>
      <c r="E30" s="68">
        <f t="shared" ca="1" si="7"/>
        <v>0</v>
      </c>
      <c r="F30" s="68">
        <f t="shared" ca="1" si="8"/>
        <v>0</v>
      </c>
      <c r="G30" s="215">
        <v>0</v>
      </c>
      <c r="H30" s="68">
        <f t="shared" ca="1" si="9"/>
        <v>0</v>
      </c>
      <c r="I30" s="155">
        <f t="shared" ca="1" si="10"/>
        <v>1</v>
      </c>
      <c r="J30" s="156">
        <f t="shared" ca="1" si="11"/>
        <v>0</v>
      </c>
      <c r="K30" s="75"/>
      <c r="L30" s="52"/>
      <c r="M30" s="52"/>
      <c r="N30" s="52"/>
      <c r="O30" s="52"/>
      <c r="P30" s="52"/>
      <c r="Q30" s="52"/>
      <c r="R30" s="52"/>
      <c r="S30" s="52"/>
      <c r="T30" s="52"/>
      <c r="U30" s="84"/>
      <c r="V30" s="84"/>
      <c r="W30" s="10"/>
      <c r="X30" s="10"/>
      <c r="Y30" s="10"/>
    </row>
    <row r="31" spans="1:53" s="208" customFormat="1" ht="13.5" thickBot="1" x14ac:dyDescent="0.25">
      <c r="B31" s="641" t="s">
        <v>362</v>
      </c>
      <c r="C31" s="642"/>
      <c r="D31" s="160">
        <f ca="1">SUM(D23:D30)</f>
        <v>0.21664834022453872</v>
      </c>
      <c r="E31" s="160">
        <f ca="1">SUM(E23:E30)</f>
        <v>0.15677937373225564</v>
      </c>
      <c r="F31" s="160">
        <f ca="1">SUM(F23:F30)</f>
        <v>5.9868966492283071E-2</v>
      </c>
      <c r="G31" s="216">
        <f>SUM(G23:G30)</f>
        <v>0</v>
      </c>
      <c r="H31" s="160"/>
      <c r="I31" s="161"/>
      <c r="J31" s="162">
        <f ca="1">SUM(J23:J30)</f>
        <v>0.21664834022453872</v>
      </c>
      <c r="K31" s="75"/>
      <c r="L31" s="52"/>
      <c r="M31" s="52"/>
      <c r="N31" s="52"/>
      <c r="O31" s="52"/>
      <c r="P31" s="52"/>
      <c r="Q31" s="52"/>
      <c r="R31" s="52"/>
      <c r="S31" s="52"/>
      <c r="T31" s="52"/>
      <c r="U31" s="84"/>
      <c r="V31" s="84"/>
      <c r="W31" s="10"/>
      <c r="X31" s="10"/>
      <c r="Y31" s="10"/>
    </row>
    <row r="32" spans="1:53" x14ac:dyDescent="0.2">
      <c r="B32" s="625" t="s">
        <v>246</v>
      </c>
      <c r="C32" s="625"/>
      <c r="D32" s="625"/>
      <c r="E32" s="625"/>
      <c r="F32" s="625"/>
      <c r="G32" s="625"/>
      <c r="H32" s="625"/>
      <c r="I32" s="625"/>
      <c r="J32" s="625"/>
      <c r="K32" s="74"/>
      <c r="L32" s="52"/>
      <c r="M32" s="52"/>
      <c r="N32" s="52"/>
      <c r="O32" s="52"/>
      <c r="P32" s="52"/>
      <c r="Q32" s="52"/>
      <c r="R32" s="52"/>
      <c r="S32" s="52"/>
      <c r="T32" s="52"/>
      <c r="U32" s="84"/>
      <c r="V32" s="84"/>
      <c r="W32" s="25"/>
      <c r="X32" s="25"/>
      <c r="Y32" s="25"/>
      <c r="Z32" s="25"/>
      <c r="AA32" s="25"/>
      <c r="AB32" s="25"/>
      <c r="AC32" s="25"/>
      <c r="AD32" s="25"/>
      <c r="AE32" s="25"/>
      <c r="AH32" s="54"/>
      <c r="AI32" s="54"/>
      <c r="AJ32" s="54"/>
      <c r="AK32" s="54"/>
      <c r="AL32" s="54"/>
      <c r="AM32" s="25"/>
      <c r="AN32" s="25"/>
      <c r="AO32" s="25"/>
    </row>
    <row r="33" spans="1:41" x14ac:dyDescent="0.2">
      <c r="A33" s="47"/>
      <c r="B33" s="612" t="s">
        <v>386</v>
      </c>
      <c r="C33" s="427"/>
      <c r="D33" s="68">
        <f ca="1">IFERROR(INDIRECT(B33 &amp; "!" &amp; "$G$65"),0)</f>
        <v>6.4414589089057658E-2</v>
      </c>
      <c r="E33" s="68">
        <f ca="1">IFERROR(INDIRECT(B33 &amp; "!" &amp; "$G$66"),0)</f>
        <v>3.5909927007548303E-2</v>
      </c>
      <c r="F33" s="115">
        <f ca="1">IFERROR(INDIRECT(B33 &amp; "!" &amp; "$G$68"),0)</f>
        <v>2.8504662081509355E-2</v>
      </c>
      <c r="G33" s="212">
        <v>0</v>
      </c>
      <c r="H33" s="115">
        <f ca="1">IFERROR(INDIRECT(B33 &amp; "!" &amp; "$H$34"),0)</f>
        <v>0.46</v>
      </c>
      <c r="I33" s="114">
        <f ca="1">1/(1+H33*D33)</f>
        <v>0.97122200157303351</v>
      </c>
      <c r="J33" s="70">
        <f ca="1">+I33*+D33+((1-I33)*G33)</f>
        <v>6.2560866145579069E-2</v>
      </c>
      <c r="K33" s="56"/>
      <c r="L33" s="84"/>
      <c r="M33" s="84"/>
      <c r="N33" s="84"/>
      <c r="O33" s="54"/>
      <c r="P33" s="25"/>
      <c r="Q33" s="54"/>
      <c r="S33" s="54"/>
      <c r="T33" s="25"/>
      <c r="U33" s="54"/>
      <c r="W33" s="74"/>
      <c r="X33" s="74"/>
      <c r="Y33" s="74"/>
      <c r="Z33" s="74"/>
      <c r="AA33" s="74"/>
      <c r="AB33" s="74"/>
      <c r="AC33" s="74"/>
      <c r="AD33" s="74"/>
      <c r="AE33" s="74"/>
      <c r="AH33" s="54"/>
      <c r="AI33" s="54"/>
      <c r="AJ33" s="54"/>
      <c r="AK33" s="25"/>
      <c r="AL33" s="54"/>
      <c r="AM33" s="25"/>
      <c r="AN33" s="25"/>
      <c r="AO33" s="25"/>
    </row>
    <row r="34" spans="1:41" x14ac:dyDescent="0.2">
      <c r="A34" s="113"/>
      <c r="B34" s="601" t="s">
        <v>397</v>
      </c>
      <c r="C34" s="427"/>
      <c r="D34" s="68">
        <f t="shared" ref="D34:D40" ca="1" si="12">IFERROR(INDIRECT(B34 &amp; "!" &amp; "$G$65"),0)</f>
        <v>0</v>
      </c>
      <c r="E34" s="68">
        <f t="shared" ref="E34:E40" ca="1" si="13">IFERROR(INDIRECT(B34 &amp; "!" &amp; "$G$66"),0)</f>
        <v>0</v>
      </c>
      <c r="F34" s="115">
        <f t="shared" ref="F34:F40" ca="1" si="14">IFERROR(INDIRECT(B34 &amp; "!" &amp; "$G$68"),0)</f>
        <v>0</v>
      </c>
      <c r="G34" s="212">
        <v>0</v>
      </c>
      <c r="H34" s="115">
        <f t="shared" ref="H34:H39" ca="1" si="15">IFERROR(INDIRECT(B34 &amp; "!" &amp; "$H$34"),0)</f>
        <v>0</v>
      </c>
      <c r="I34" s="114">
        <f t="shared" ref="I34:I39" ca="1" si="16">1/(1+H34*D34)</f>
        <v>1</v>
      </c>
      <c r="J34" s="70">
        <f t="shared" ref="J34:J39" ca="1" si="17">+I34*+D34+((1-I34)*G34)</f>
        <v>0</v>
      </c>
      <c r="L34" s="48"/>
      <c r="M34" s="25"/>
      <c r="N34" s="25"/>
      <c r="O34" s="25"/>
      <c r="P34" s="25"/>
      <c r="S34" s="25"/>
      <c r="T34" s="25"/>
      <c r="W34" s="52"/>
      <c r="X34" s="52"/>
      <c r="Y34" s="52"/>
      <c r="Z34" s="52"/>
      <c r="AA34" s="52"/>
      <c r="AB34" s="52"/>
      <c r="AC34" s="52"/>
      <c r="AD34" s="52"/>
      <c r="AE34" s="52"/>
      <c r="AH34" s="54"/>
      <c r="AI34" s="54"/>
      <c r="AJ34" s="25"/>
      <c r="AK34" s="25"/>
      <c r="AL34" s="25"/>
      <c r="AM34" s="25"/>
      <c r="AN34" s="25"/>
      <c r="AO34" s="25"/>
    </row>
    <row r="35" spans="1:41" x14ac:dyDescent="0.2">
      <c r="A35" s="84"/>
      <c r="B35" s="612" t="s">
        <v>398</v>
      </c>
      <c r="C35" s="427"/>
      <c r="D35" s="68">
        <f t="shared" ca="1" si="12"/>
        <v>0</v>
      </c>
      <c r="E35" s="68">
        <f t="shared" ca="1" si="13"/>
        <v>0</v>
      </c>
      <c r="F35" s="115">
        <f t="shared" ca="1" si="14"/>
        <v>0</v>
      </c>
      <c r="G35" s="212">
        <v>0</v>
      </c>
      <c r="H35" s="115">
        <f t="shared" ca="1" si="15"/>
        <v>0</v>
      </c>
      <c r="I35" s="114">
        <f t="shared" ca="1" si="16"/>
        <v>1</v>
      </c>
      <c r="J35" s="70">
        <f t="shared" ca="1" si="17"/>
        <v>0</v>
      </c>
      <c r="L35" s="84"/>
      <c r="W35" s="52"/>
      <c r="X35" s="52"/>
      <c r="Y35" s="52"/>
      <c r="Z35" s="52"/>
      <c r="AA35" s="52"/>
      <c r="AB35" s="52"/>
      <c r="AC35" s="52"/>
      <c r="AD35" s="52"/>
      <c r="AE35" s="52"/>
      <c r="AH35" s="25"/>
      <c r="AI35" s="25"/>
      <c r="AJ35" s="25"/>
      <c r="AK35" s="25"/>
      <c r="AL35" s="105"/>
      <c r="AM35" s="105"/>
      <c r="AN35" s="105"/>
      <c r="AO35" s="105"/>
    </row>
    <row r="36" spans="1:41" x14ac:dyDescent="0.2">
      <c r="A36" s="84"/>
      <c r="B36" s="601" t="s">
        <v>399</v>
      </c>
      <c r="C36" s="427"/>
      <c r="D36" s="68">
        <f t="shared" ca="1" si="12"/>
        <v>0</v>
      </c>
      <c r="E36" s="68">
        <f t="shared" ca="1" si="13"/>
        <v>0</v>
      </c>
      <c r="F36" s="115">
        <f t="shared" ca="1" si="14"/>
        <v>0</v>
      </c>
      <c r="G36" s="212">
        <v>0</v>
      </c>
      <c r="H36" s="115">
        <f t="shared" ca="1" si="15"/>
        <v>0</v>
      </c>
      <c r="I36" s="114">
        <f t="shared" ca="1" si="16"/>
        <v>1</v>
      </c>
      <c r="J36" s="70">
        <f t="shared" ca="1" si="17"/>
        <v>0</v>
      </c>
      <c r="O36" s="49"/>
      <c r="P36" s="49"/>
      <c r="Q36" s="49"/>
      <c r="R36" s="45"/>
      <c r="S36" s="49"/>
      <c r="T36" s="49"/>
      <c r="U36" s="49"/>
      <c r="V36" s="45"/>
      <c r="W36" s="79"/>
      <c r="X36" s="79"/>
      <c r="Y36" s="79"/>
      <c r="Z36" s="79"/>
      <c r="AA36" s="79"/>
      <c r="AB36" s="79"/>
      <c r="AC36" s="79"/>
      <c r="AD36" s="79"/>
      <c r="AE36" s="79"/>
      <c r="AH36" s="25"/>
      <c r="AI36" s="25"/>
      <c r="AJ36" s="25"/>
      <c r="AK36" s="25"/>
      <c r="AL36" s="106"/>
      <c r="AM36" s="106"/>
      <c r="AN36" s="106"/>
      <c r="AO36" s="106"/>
    </row>
    <row r="37" spans="1:41" x14ac:dyDescent="0.2">
      <c r="A37" s="72"/>
      <c r="B37" s="612" t="s">
        <v>400</v>
      </c>
      <c r="C37" s="427"/>
      <c r="D37" s="68">
        <f t="shared" ca="1" si="12"/>
        <v>0</v>
      </c>
      <c r="E37" s="68">
        <f t="shared" ca="1" si="13"/>
        <v>0</v>
      </c>
      <c r="F37" s="115">
        <f t="shared" ca="1" si="14"/>
        <v>0</v>
      </c>
      <c r="G37" s="212">
        <v>0</v>
      </c>
      <c r="H37" s="115">
        <f t="shared" ca="1" si="15"/>
        <v>0</v>
      </c>
      <c r="I37" s="114">
        <f t="shared" ca="1" si="16"/>
        <v>1</v>
      </c>
      <c r="J37" s="70">
        <f t="shared" ca="1" si="17"/>
        <v>0</v>
      </c>
      <c r="K37" s="57"/>
      <c r="O37" s="45"/>
      <c r="P37" s="45"/>
      <c r="Q37" s="45"/>
      <c r="R37" s="45"/>
      <c r="S37" s="45"/>
      <c r="T37" s="45"/>
      <c r="U37" s="45"/>
      <c r="V37" s="45"/>
      <c r="W37" s="80"/>
      <c r="X37" s="80"/>
      <c r="Y37" s="80"/>
      <c r="Z37" s="80"/>
      <c r="AA37" s="80"/>
      <c r="AB37" s="80"/>
      <c r="AC37" s="80"/>
      <c r="AD37" s="80"/>
      <c r="AE37" s="80"/>
      <c r="AH37" s="48"/>
      <c r="AI37" s="25"/>
      <c r="AJ37" s="64"/>
      <c r="AK37" s="25"/>
      <c r="AL37" s="103"/>
      <c r="AM37" s="103"/>
      <c r="AN37" s="107"/>
      <c r="AO37" s="107"/>
    </row>
    <row r="38" spans="1:41" x14ac:dyDescent="0.2">
      <c r="A38" s="72"/>
      <c r="B38" s="601" t="s">
        <v>401</v>
      </c>
      <c r="C38" s="427"/>
      <c r="D38" s="68">
        <f t="shared" ca="1" si="12"/>
        <v>0</v>
      </c>
      <c r="E38" s="68">
        <f t="shared" ca="1" si="13"/>
        <v>0</v>
      </c>
      <c r="F38" s="115">
        <f t="shared" ca="1" si="14"/>
        <v>0</v>
      </c>
      <c r="G38" s="212">
        <v>0</v>
      </c>
      <c r="H38" s="115">
        <f t="shared" ca="1" si="15"/>
        <v>0</v>
      </c>
      <c r="I38" s="114">
        <f t="shared" ca="1" si="16"/>
        <v>1</v>
      </c>
      <c r="J38" s="70">
        <f t="shared" ca="1" si="17"/>
        <v>0</v>
      </c>
      <c r="K38" s="54"/>
      <c r="L38" s="85"/>
      <c r="M38" s="25"/>
      <c r="N38" s="25"/>
      <c r="O38" s="87"/>
      <c r="P38" s="87"/>
      <c r="Q38" s="87"/>
      <c r="R38" s="25"/>
      <c r="S38" s="42"/>
      <c r="T38" s="42"/>
      <c r="U38" s="42"/>
      <c r="V38" s="42"/>
      <c r="W38" s="54"/>
      <c r="X38" s="25"/>
      <c r="Y38" s="25"/>
      <c r="Z38" s="25"/>
      <c r="AA38" s="25"/>
      <c r="AB38" s="25"/>
      <c r="AC38" s="25"/>
      <c r="AD38" s="25"/>
      <c r="AE38" s="25"/>
      <c r="AH38" s="25"/>
      <c r="AI38" s="25"/>
      <c r="AJ38" s="25"/>
      <c r="AK38" s="25"/>
      <c r="AL38" s="103"/>
      <c r="AM38" s="103"/>
      <c r="AN38" s="103"/>
      <c r="AO38" s="103"/>
    </row>
    <row r="39" spans="1:41" x14ac:dyDescent="0.2">
      <c r="A39" s="30"/>
      <c r="B39" s="612" t="s">
        <v>402</v>
      </c>
      <c r="C39" s="427"/>
      <c r="D39" s="68">
        <f t="shared" ca="1" si="12"/>
        <v>0</v>
      </c>
      <c r="E39" s="68">
        <f t="shared" ca="1" si="13"/>
        <v>0</v>
      </c>
      <c r="F39" s="115">
        <f t="shared" ca="1" si="14"/>
        <v>0</v>
      </c>
      <c r="G39" s="212">
        <v>0</v>
      </c>
      <c r="H39" s="115">
        <f t="shared" ca="1" si="15"/>
        <v>0</v>
      </c>
      <c r="I39" s="114">
        <f t="shared" ca="1" si="16"/>
        <v>1</v>
      </c>
      <c r="J39" s="70">
        <f t="shared" ca="1" si="17"/>
        <v>0</v>
      </c>
      <c r="K39" s="54"/>
      <c r="L39" s="85"/>
      <c r="M39" s="25"/>
      <c r="N39" s="25"/>
      <c r="O39" s="87"/>
      <c r="P39" s="87"/>
      <c r="Q39" s="87"/>
      <c r="R39" s="25"/>
      <c r="S39" s="42"/>
      <c r="T39" s="42"/>
      <c r="U39" s="42"/>
      <c r="V39" s="42"/>
      <c r="W39" s="54"/>
      <c r="X39" s="25"/>
      <c r="Y39" s="25"/>
      <c r="Z39" s="25"/>
      <c r="AA39" s="25"/>
      <c r="AB39" s="25"/>
      <c r="AC39" s="25"/>
      <c r="AD39" s="25"/>
      <c r="AE39" s="25"/>
      <c r="AH39" s="25"/>
      <c r="AI39" s="25"/>
      <c r="AJ39" s="25"/>
      <c r="AK39" s="25"/>
      <c r="AL39" s="103"/>
      <c r="AM39" s="103"/>
      <c r="AN39" s="103"/>
      <c r="AO39" s="103"/>
    </row>
    <row r="40" spans="1:41" ht="13.5" thickBot="1" x14ac:dyDescent="0.25">
      <c r="A40" s="33"/>
      <c r="B40" s="601" t="s">
        <v>403</v>
      </c>
      <c r="C40" s="427"/>
      <c r="D40" s="68">
        <f t="shared" ca="1" si="12"/>
        <v>0</v>
      </c>
      <c r="E40" s="68">
        <f t="shared" ca="1" si="13"/>
        <v>0</v>
      </c>
      <c r="F40" s="115">
        <f t="shared" ca="1" si="14"/>
        <v>0</v>
      </c>
      <c r="G40" s="217">
        <v>0</v>
      </c>
      <c r="H40" s="115">
        <f ca="1">IFERROR(INDIRECT(B40 &amp; "!" &amp; "$H$34"),0)</f>
        <v>0</v>
      </c>
      <c r="I40" s="155">
        <f ca="1">1/(1+H40*D40)</f>
        <v>1</v>
      </c>
      <c r="J40" s="156">
        <f ca="1">+I40*+D40+((1-I40)*G40)</f>
        <v>0</v>
      </c>
      <c r="K40" s="75"/>
      <c r="L40" s="85"/>
      <c r="M40" s="86"/>
      <c r="N40" s="86"/>
      <c r="Q40" s="42"/>
      <c r="R40" s="42"/>
      <c r="S40" s="42"/>
      <c r="T40" s="42"/>
      <c r="U40" s="42"/>
      <c r="V40" s="42"/>
      <c r="W40" s="10"/>
      <c r="X40" s="10"/>
      <c r="Y40" s="10"/>
      <c r="Z40" s="10"/>
      <c r="AA40" s="10"/>
      <c r="AB40" s="10"/>
      <c r="AC40" s="10"/>
      <c r="AD40" s="10"/>
      <c r="AE40" s="10"/>
      <c r="AH40" s="65"/>
      <c r="AI40" s="44"/>
      <c r="AJ40" s="64"/>
      <c r="AK40" s="25"/>
      <c r="AL40" s="103"/>
      <c r="AM40" s="103"/>
      <c r="AN40" s="107"/>
      <c r="AO40" s="107"/>
    </row>
    <row r="41" spans="1:41" ht="13.5" thickBot="1" x14ac:dyDescent="0.25">
      <c r="A41" s="33"/>
      <c r="B41" s="608" t="s">
        <v>361</v>
      </c>
      <c r="C41" s="609"/>
      <c r="D41" s="158">
        <f ca="1">SUM(D33:D40)</f>
        <v>6.4414589089057658E-2</v>
      </c>
      <c r="E41" s="158">
        <f ca="1">SUM(E33:E40)</f>
        <v>3.5909927007548303E-2</v>
      </c>
      <c r="F41" s="158">
        <f ca="1">SUM(F33:F40)</f>
        <v>2.8504662081509355E-2</v>
      </c>
      <c r="G41" s="218">
        <f>SUM(G33:G40)</f>
        <v>0</v>
      </c>
      <c r="H41" s="157"/>
      <c r="I41" s="158"/>
      <c r="J41" s="159">
        <f ca="1">SUM(J33:J40)</f>
        <v>6.2560866145579069E-2</v>
      </c>
      <c r="K41" s="75"/>
      <c r="L41" s="85"/>
      <c r="M41" s="86"/>
      <c r="N41" s="86"/>
      <c r="Q41" s="42"/>
      <c r="R41" s="42"/>
      <c r="S41" s="42"/>
      <c r="T41" s="42"/>
      <c r="U41" s="42"/>
      <c r="V41" s="42"/>
      <c r="W41" s="10"/>
      <c r="X41" s="10"/>
      <c r="Y41" s="10"/>
      <c r="Z41" s="10"/>
      <c r="AA41" s="10"/>
      <c r="AB41" s="10"/>
      <c r="AC41" s="10"/>
      <c r="AD41" s="10"/>
      <c r="AE41" s="10"/>
      <c r="AH41" s="65"/>
      <c r="AI41" s="44"/>
      <c r="AJ41" s="64"/>
      <c r="AK41" s="25"/>
      <c r="AL41" s="103"/>
      <c r="AM41" s="103"/>
      <c r="AN41" s="107"/>
      <c r="AO41" s="107"/>
    </row>
    <row r="42" spans="1:41" ht="14.25" thickTop="1" thickBot="1" x14ac:dyDescent="0.25">
      <c r="A42" s="43"/>
      <c r="B42" s="613" t="s">
        <v>242</v>
      </c>
      <c r="C42" s="614"/>
      <c r="D42" s="116">
        <f ca="1">SUM(D13:D20)+SUM(D23:D30)+SUM(D33:D40)</f>
        <v>0.44990952192168371</v>
      </c>
      <c r="E42" s="116">
        <f ca="1">SUM(E13:E20)+SUM(E23:E30)+SUM(E33:E40)</f>
        <v>0.30136680674596766</v>
      </c>
      <c r="F42" s="116">
        <f ca="1">SUM(F13:F20)+SUM(F23:F30)+SUM(F33:F40)</f>
        <v>0.14854271517571599</v>
      </c>
      <c r="G42" s="117">
        <f>SUM(G13:G20)+SUM(G23:G30)+SUM(G33:G40)</f>
        <v>0</v>
      </c>
      <c r="H42" s="118" t="s">
        <v>17</v>
      </c>
      <c r="I42" s="118" t="s">
        <v>17</v>
      </c>
      <c r="J42" s="147">
        <f ca="1">SUM(J13:J20)+SUM(J23:J30)+SUM(J33:J40)</f>
        <v>0.44220849258613193</v>
      </c>
      <c r="K42" s="75"/>
      <c r="N42" s="10"/>
      <c r="O42" s="10"/>
      <c r="P42" s="10"/>
      <c r="Q42" s="10"/>
      <c r="R42" s="10"/>
      <c r="S42" s="10"/>
      <c r="T42" s="10"/>
      <c r="U42" s="10"/>
      <c r="V42" s="10"/>
      <c r="W42" s="10"/>
      <c r="X42" s="10"/>
      <c r="Y42" s="10"/>
      <c r="Z42" s="10"/>
      <c r="AA42" s="10"/>
      <c r="AB42" s="10"/>
      <c r="AC42" s="10"/>
      <c r="AD42" s="10"/>
      <c r="AE42" s="10"/>
      <c r="AH42" s="44"/>
      <c r="AI42" s="44"/>
      <c r="AJ42" s="25"/>
      <c r="AK42" s="25"/>
      <c r="AL42" s="103"/>
      <c r="AM42" s="103"/>
      <c r="AN42" s="103"/>
      <c r="AO42" s="103"/>
    </row>
    <row r="43" spans="1:41" x14ac:dyDescent="0.2">
      <c r="A43" s="40"/>
      <c r="B43" s="53"/>
      <c r="C43" s="47"/>
      <c r="D43" s="47"/>
      <c r="F43" s="40"/>
      <c r="H43" s="40"/>
      <c r="K43" s="75"/>
      <c r="N43" s="10"/>
      <c r="O43" s="10"/>
      <c r="P43" s="10"/>
      <c r="Q43" s="10"/>
      <c r="R43" s="10"/>
      <c r="S43" s="10"/>
      <c r="T43" s="10"/>
      <c r="U43" s="10"/>
      <c r="V43" s="10"/>
      <c r="W43" s="10"/>
      <c r="X43" s="10"/>
      <c r="Y43" s="10"/>
      <c r="Z43" s="10"/>
      <c r="AA43" s="10"/>
      <c r="AB43" s="10"/>
      <c r="AC43" s="10"/>
      <c r="AD43" s="10"/>
      <c r="AE43" s="10"/>
      <c r="AH43" s="44"/>
      <c r="AI43" s="44"/>
      <c r="AJ43" s="64"/>
      <c r="AK43" s="30"/>
      <c r="AL43" s="30"/>
      <c r="AM43" s="30"/>
      <c r="AN43" s="30"/>
      <c r="AO43" s="30"/>
    </row>
    <row r="44" spans="1:41" x14ac:dyDescent="0.2">
      <c r="A44" s="52"/>
      <c r="B44" s="53"/>
      <c r="C44" s="89"/>
      <c r="D44" s="52"/>
      <c r="E44" s="52"/>
      <c r="F44" s="52"/>
      <c r="G44" s="25"/>
      <c r="H44" s="52"/>
      <c r="K44" s="75"/>
      <c r="N44" s="10"/>
      <c r="O44" s="10"/>
      <c r="P44" s="10"/>
      <c r="Q44" s="10"/>
      <c r="R44" s="10"/>
      <c r="S44" s="10"/>
      <c r="T44" s="10"/>
      <c r="U44" s="10"/>
      <c r="V44" s="10"/>
      <c r="W44" s="10"/>
      <c r="X44" s="10"/>
      <c r="Y44" s="10"/>
      <c r="Z44" s="10"/>
      <c r="AA44" s="10"/>
      <c r="AB44" s="10"/>
      <c r="AC44" s="10"/>
      <c r="AD44" s="10"/>
      <c r="AE44" s="10"/>
      <c r="AH44" s="97"/>
      <c r="AI44" s="97"/>
      <c r="AJ44" s="90"/>
      <c r="AK44" s="90"/>
      <c r="AL44" s="90"/>
      <c r="AM44" s="90"/>
      <c r="AN44" s="90"/>
      <c r="AO44" s="90"/>
    </row>
    <row r="45" spans="1:41" ht="13.5" thickBot="1" x14ac:dyDescent="0.25">
      <c r="B45" s="53"/>
      <c r="C45" s="48"/>
      <c r="D45" s="25"/>
      <c r="E45" s="25"/>
      <c r="K45" s="75"/>
      <c r="N45" s="10"/>
      <c r="O45" s="10"/>
      <c r="P45" s="10"/>
      <c r="Q45" s="10"/>
      <c r="R45" s="10"/>
      <c r="S45" s="10"/>
      <c r="T45" s="10"/>
      <c r="U45" s="10"/>
      <c r="V45" s="10"/>
      <c r="W45" s="10"/>
      <c r="X45" s="10"/>
      <c r="Y45" s="10"/>
      <c r="Z45" s="10"/>
      <c r="AA45" s="10"/>
      <c r="AB45" s="10"/>
      <c r="AC45" s="10"/>
      <c r="AD45" s="10"/>
      <c r="AE45" s="10"/>
      <c r="AH45" s="38"/>
      <c r="AI45" s="90"/>
      <c r="AJ45" s="90"/>
      <c r="AK45" s="90"/>
      <c r="AL45" s="90"/>
      <c r="AM45" s="90"/>
      <c r="AN45" s="90"/>
      <c r="AO45" s="90"/>
    </row>
    <row r="46" spans="1:41" ht="13.5" thickTop="1" x14ac:dyDescent="0.2">
      <c r="B46" s="615" t="s">
        <v>267</v>
      </c>
      <c r="C46" s="616"/>
      <c r="D46" s="616"/>
      <c r="E46" s="616"/>
      <c r="F46" s="616"/>
      <c r="G46" s="616"/>
      <c r="H46" s="616"/>
      <c r="I46" s="616"/>
      <c r="J46" s="616"/>
      <c r="K46" s="75"/>
      <c r="N46" s="10"/>
      <c r="O46" s="10"/>
      <c r="P46" s="10"/>
      <c r="Q46" s="10"/>
      <c r="R46" s="10"/>
      <c r="S46" s="10"/>
      <c r="T46" s="10"/>
      <c r="U46" s="10"/>
      <c r="V46" s="10"/>
      <c r="W46" s="10"/>
      <c r="X46" s="10"/>
      <c r="Y46" s="10"/>
      <c r="Z46" s="10"/>
      <c r="AA46" s="10"/>
      <c r="AB46" s="10"/>
      <c r="AC46" s="10"/>
      <c r="AD46" s="10"/>
      <c r="AE46" s="10"/>
      <c r="AH46" s="108"/>
      <c r="AI46" s="97"/>
      <c r="AJ46" s="90"/>
      <c r="AK46" s="90"/>
      <c r="AL46" s="90"/>
      <c r="AM46" s="90"/>
      <c r="AN46" s="90"/>
      <c r="AO46" s="90"/>
    </row>
    <row r="47" spans="1:41" ht="13.5" thickBot="1" x14ac:dyDescent="0.25">
      <c r="B47" s="617"/>
      <c r="C47" s="617"/>
      <c r="D47" s="617"/>
      <c r="E47" s="617"/>
      <c r="F47" s="617"/>
      <c r="G47" s="617"/>
      <c r="H47" s="617"/>
      <c r="I47" s="617"/>
      <c r="J47" s="617"/>
      <c r="K47" s="75"/>
      <c r="N47" s="10"/>
      <c r="O47" s="10"/>
      <c r="P47" s="10"/>
      <c r="Q47" s="10"/>
      <c r="R47" s="10"/>
      <c r="S47" s="10"/>
      <c r="T47" s="10"/>
      <c r="U47" s="10"/>
      <c r="V47" s="10"/>
      <c r="W47" s="10"/>
      <c r="X47" s="10"/>
      <c r="Y47" s="10"/>
      <c r="Z47" s="10"/>
      <c r="AA47" s="10"/>
      <c r="AB47" s="10"/>
      <c r="AC47" s="10"/>
      <c r="AD47" s="10"/>
      <c r="AE47" s="10"/>
      <c r="AH47" s="90"/>
      <c r="AI47" s="90"/>
      <c r="AJ47" s="90"/>
      <c r="AK47" s="90"/>
      <c r="AL47" s="90"/>
      <c r="AM47" s="90"/>
      <c r="AN47" s="90"/>
      <c r="AO47" s="90"/>
    </row>
    <row r="48" spans="1:41" x14ac:dyDescent="0.2">
      <c r="B48" s="602" t="s">
        <v>19</v>
      </c>
      <c r="C48" s="603"/>
      <c r="D48" s="603"/>
      <c r="E48" s="604" t="s">
        <v>20</v>
      </c>
      <c r="F48" s="603"/>
      <c r="G48" s="603"/>
      <c r="H48" s="604" t="s">
        <v>21</v>
      </c>
      <c r="I48" s="603"/>
      <c r="J48" s="605"/>
      <c r="K48" s="74"/>
      <c r="L48" s="25"/>
      <c r="M48" s="25"/>
      <c r="N48" s="25"/>
      <c r="O48" s="25"/>
      <c r="P48" s="25"/>
      <c r="Q48" s="25"/>
      <c r="R48" s="25"/>
      <c r="S48" s="25"/>
      <c r="T48" s="25"/>
      <c r="U48" s="25"/>
      <c r="V48" s="25"/>
      <c r="W48" s="54"/>
      <c r="X48" s="54"/>
      <c r="Y48" s="54"/>
      <c r="Z48" s="54"/>
      <c r="AA48" s="54"/>
      <c r="AB48" s="54"/>
      <c r="AC48" s="54"/>
      <c r="AD48" s="54"/>
      <c r="AE48" s="54"/>
      <c r="AH48" s="90"/>
      <c r="AI48" s="90"/>
      <c r="AJ48" s="90"/>
      <c r="AK48" s="90"/>
      <c r="AL48" s="90"/>
      <c r="AM48" s="90"/>
      <c r="AN48" s="90"/>
      <c r="AO48" s="90"/>
    </row>
    <row r="49" spans="1:49" ht="13.5" x14ac:dyDescent="0.25">
      <c r="A49" s="33"/>
      <c r="B49" s="610" t="s">
        <v>49</v>
      </c>
      <c r="C49" s="611"/>
      <c r="D49" s="611"/>
      <c r="E49" s="606" t="s">
        <v>268</v>
      </c>
      <c r="F49" s="607"/>
      <c r="G49" s="607"/>
      <c r="H49" s="606" t="s">
        <v>269</v>
      </c>
      <c r="I49" s="607"/>
      <c r="J49" s="640"/>
      <c r="K49" s="75"/>
      <c r="N49" s="10"/>
      <c r="O49" s="10"/>
      <c r="P49" s="10"/>
      <c r="Q49" s="10"/>
      <c r="R49" s="10"/>
      <c r="S49" s="10"/>
      <c r="T49" s="10"/>
      <c r="U49" s="10"/>
      <c r="V49" s="10"/>
      <c r="W49" s="10"/>
      <c r="X49" s="10"/>
      <c r="Y49" s="10"/>
      <c r="Z49" s="10"/>
      <c r="AA49" s="10"/>
      <c r="AB49" s="10"/>
      <c r="AC49" s="10"/>
      <c r="AD49" s="10"/>
      <c r="AE49" s="10"/>
      <c r="AH49" s="90"/>
      <c r="AI49" s="90"/>
      <c r="AJ49" s="90"/>
      <c r="AK49" s="90"/>
      <c r="AL49" s="90"/>
      <c r="AM49" s="90"/>
      <c r="AN49" s="90"/>
      <c r="AO49" s="90"/>
    </row>
    <row r="50" spans="1:49" ht="15.75" x14ac:dyDescent="0.2">
      <c r="A50" s="90"/>
      <c r="B50" s="601" t="s">
        <v>39</v>
      </c>
      <c r="C50" s="630"/>
      <c r="D50" s="630"/>
      <c r="E50" s="260" t="s">
        <v>270</v>
      </c>
      <c r="F50" s="252"/>
      <c r="G50" s="252"/>
      <c r="H50" s="260" t="s">
        <v>271</v>
      </c>
      <c r="I50" s="252"/>
      <c r="J50" s="261"/>
      <c r="K50" s="75"/>
      <c r="N50" s="77"/>
      <c r="O50" s="10"/>
      <c r="P50" s="10"/>
      <c r="Q50" s="10"/>
      <c r="R50" s="10"/>
      <c r="S50" s="10"/>
      <c r="T50" s="10"/>
      <c r="U50" s="10"/>
      <c r="V50" s="10"/>
      <c r="W50" s="77"/>
      <c r="X50" s="10"/>
      <c r="Y50" s="10"/>
      <c r="Z50" s="10"/>
      <c r="AA50" s="10"/>
      <c r="AB50" s="10"/>
      <c r="AC50" s="10"/>
      <c r="AD50" s="10"/>
      <c r="AE50" s="10"/>
      <c r="AH50" s="52"/>
      <c r="AI50" s="45"/>
      <c r="AJ50" s="45"/>
      <c r="AK50" s="45"/>
      <c r="AL50" s="45"/>
      <c r="AM50" s="45"/>
      <c r="AN50" s="84"/>
    </row>
    <row r="51" spans="1:49" x14ac:dyDescent="0.2">
      <c r="A51" s="90"/>
      <c r="B51" s="631"/>
      <c r="C51" s="630"/>
      <c r="D51" s="630"/>
      <c r="E51" s="264">
        <f ca="1">+D42</f>
        <v>0.44990952192168371</v>
      </c>
      <c r="F51" s="619"/>
      <c r="G51" s="265"/>
      <c r="H51" s="264">
        <f ca="1">+J42</f>
        <v>0.44220849258613193</v>
      </c>
      <c r="I51" s="618"/>
      <c r="J51" s="618"/>
      <c r="K51" s="75"/>
      <c r="N51" s="77"/>
      <c r="O51" s="10"/>
      <c r="P51" s="10"/>
      <c r="Q51" s="10"/>
      <c r="R51" s="10"/>
      <c r="S51" s="10"/>
      <c r="T51" s="10"/>
      <c r="U51" s="10"/>
      <c r="V51" s="10"/>
      <c r="W51" s="77"/>
      <c r="X51" s="10"/>
      <c r="Y51" s="10"/>
      <c r="Z51" s="10"/>
      <c r="AA51" s="10"/>
      <c r="AB51" s="10"/>
      <c r="AC51" s="10"/>
      <c r="AD51" s="10"/>
      <c r="AE51" s="10"/>
      <c r="AH51" s="52"/>
      <c r="AI51" s="45"/>
      <c r="AJ51" s="45"/>
      <c r="AK51" s="45"/>
      <c r="AL51" s="45"/>
      <c r="AM51" s="45"/>
      <c r="AN51" s="84"/>
    </row>
    <row r="52" spans="1:49" ht="15.75" x14ac:dyDescent="0.2">
      <c r="A52" s="88"/>
      <c r="B52" s="601" t="s">
        <v>272</v>
      </c>
      <c r="C52" s="630"/>
      <c r="D52" s="630"/>
      <c r="E52" s="260" t="s">
        <v>274</v>
      </c>
      <c r="F52" s="252"/>
      <c r="G52" s="252"/>
      <c r="H52" s="260" t="s">
        <v>276</v>
      </c>
      <c r="I52" s="252"/>
      <c r="J52" s="261"/>
      <c r="K52" s="75"/>
      <c r="N52" s="77"/>
      <c r="O52" s="10"/>
      <c r="P52" s="10"/>
      <c r="Q52" s="10"/>
      <c r="R52" s="10"/>
      <c r="S52" s="10"/>
      <c r="T52" s="10"/>
      <c r="U52" s="10"/>
      <c r="V52" s="10"/>
      <c r="W52" s="77"/>
      <c r="X52" s="10"/>
      <c r="Y52" s="10"/>
      <c r="Z52" s="10"/>
      <c r="AA52" s="10"/>
      <c r="AB52" s="10"/>
      <c r="AC52" s="10"/>
      <c r="AD52" s="10"/>
      <c r="AE52" s="10"/>
      <c r="AH52" s="52"/>
      <c r="AI52" s="45"/>
      <c r="AJ52" s="45"/>
      <c r="AK52" s="45"/>
      <c r="AL52" s="45"/>
      <c r="AM52" s="45"/>
      <c r="AN52" s="84"/>
    </row>
    <row r="53" spans="1:49" x14ac:dyDescent="0.2">
      <c r="A53" s="41"/>
      <c r="B53" s="631"/>
      <c r="C53" s="630"/>
      <c r="D53" s="630"/>
      <c r="E53" s="643">
        <f ca="1">+E42</f>
        <v>0.30136680674596766</v>
      </c>
      <c r="F53" s="644"/>
      <c r="G53" s="645"/>
      <c r="H53" s="429">
        <f ca="1">+J42*E42/D42</f>
        <v>0.29620835931058254</v>
      </c>
      <c r="I53" s="618"/>
      <c r="J53" s="618"/>
      <c r="K53" s="75"/>
      <c r="N53" s="10"/>
      <c r="O53" s="10"/>
      <c r="P53" s="10"/>
      <c r="Q53" s="10"/>
      <c r="R53" s="10"/>
      <c r="S53" s="10"/>
      <c r="T53" s="10"/>
      <c r="U53" s="10"/>
      <c r="V53" s="10"/>
      <c r="W53" s="10"/>
      <c r="X53" s="10"/>
      <c r="Y53" s="10"/>
      <c r="Z53" s="10"/>
      <c r="AA53" s="10"/>
      <c r="AB53" s="10"/>
      <c r="AC53" s="10"/>
      <c r="AD53" s="10"/>
      <c r="AE53" s="10"/>
      <c r="AH53" s="45"/>
      <c r="AI53" s="45"/>
      <c r="AJ53" s="45"/>
      <c r="AK53" s="45"/>
      <c r="AL53" s="45"/>
      <c r="AM53" s="45"/>
      <c r="AN53" s="84"/>
      <c r="AO53" s="58"/>
      <c r="AP53" s="58"/>
      <c r="AQ53" s="58"/>
      <c r="AR53" s="58"/>
      <c r="AS53" s="58"/>
      <c r="AT53" s="58"/>
      <c r="AU53" s="58"/>
      <c r="AV53" s="58"/>
      <c r="AW53" s="58"/>
    </row>
    <row r="54" spans="1:49" ht="15.75" x14ac:dyDescent="0.2">
      <c r="A54" s="45"/>
      <c r="B54" s="632" t="s">
        <v>273</v>
      </c>
      <c r="C54" s="633"/>
      <c r="D54" s="633"/>
      <c r="E54" s="260" t="s">
        <v>275</v>
      </c>
      <c r="F54" s="252"/>
      <c r="G54" s="252"/>
      <c r="H54" s="260" t="s">
        <v>277</v>
      </c>
      <c r="I54" s="252"/>
      <c r="J54" s="261"/>
      <c r="K54" s="75"/>
      <c r="N54" s="10"/>
      <c r="O54" s="10"/>
      <c r="P54" s="10"/>
      <c r="Q54" s="10"/>
      <c r="R54" s="10"/>
      <c r="S54" s="10"/>
      <c r="T54" s="10"/>
      <c r="U54" s="10"/>
      <c r="V54" s="10"/>
      <c r="W54" s="10"/>
      <c r="X54" s="10"/>
      <c r="Y54" s="10"/>
      <c r="Z54" s="10"/>
      <c r="AA54" s="10"/>
      <c r="AB54" s="10"/>
      <c r="AC54" s="10"/>
      <c r="AD54" s="10"/>
      <c r="AE54" s="10"/>
      <c r="AH54" s="43"/>
      <c r="AK54" s="54"/>
      <c r="AO54" s="25"/>
      <c r="AT54" s="25"/>
      <c r="AU54" s="25"/>
      <c r="AV54" s="25"/>
      <c r="AW54" s="25"/>
    </row>
    <row r="55" spans="1:49" ht="13.5" thickBot="1" x14ac:dyDescent="0.25">
      <c r="A55" s="43"/>
      <c r="B55" s="634"/>
      <c r="C55" s="635"/>
      <c r="D55" s="635"/>
      <c r="E55" s="620">
        <f ca="1">+F42</f>
        <v>0.14854271517571599</v>
      </c>
      <c r="F55" s="621"/>
      <c r="G55" s="622"/>
      <c r="H55" s="623">
        <f ca="1">+J42*F42/D42</f>
        <v>0.14600013327554937</v>
      </c>
      <c r="I55" s="624"/>
      <c r="J55" s="624"/>
      <c r="K55" s="75"/>
      <c r="N55" s="10"/>
      <c r="O55" s="10"/>
      <c r="P55" s="10"/>
      <c r="Q55" s="10"/>
      <c r="R55" s="10"/>
      <c r="S55" s="10"/>
      <c r="T55" s="10"/>
      <c r="U55" s="10"/>
      <c r="V55" s="10"/>
      <c r="W55" s="10"/>
      <c r="X55" s="10"/>
      <c r="Y55" s="10"/>
      <c r="Z55" s="10"/>
      <c r="AA55" s="10"/>
      <c r="AB55" s="10"/>
      <c r="AC55" s="10"/>
      <c r="AD55" s="10"/>
      <c r="AE55" s="10"/>
      <c r="AH55" s="57"/>
      <c r="AI55" s="53"/>
      <c r="AJ55" s="25"/>
      <c r="AK55" s="56"/>
      <c r="AL55" s="54"/>
      <c r="AM55" s="58"/>
      <c r="AO55" s="54"/>
      <c r="AT55" s="54"/>
      <c r="AU55" s="54"/>
      <c r="AV55" s="54"/>
    </row>
    <row r="56" spans="1:49" x14ac:dyDescent="0.2">
      <c r="A56" s="40"/>
      <c r="C56" s="40"/>
      <c r="D56" s="40"/>
      <c r="E56" s="40"/>
      <c r="F56" s="47"/>
      <c r="G56" s="40"/>
      <c r="H56" s="40"/>
      <c r="I56" s="47"/>
      <c r="K56" s="75"/>
      <c r="N56" s="10"/>
      <c r="O56" s="10"/>
      <c r="P56" s="10"/>
      <c r="Q56" s="10"/>
      <c r="R56" s="10"/>
      <c r="S56" s="10"/>
      <c r="T56" s="10"/>
      <c r="U56" s="10"/>
      <c r="V56" s="10"/>
      <c r="W56" s="10"/>
      <c r="X56" s="10"/>
      <c r="Y56" s="10"/>
      <c r="Z56" s="10"/>
      <c r="AA56" s="10"/>
      <c r="AB56" s="10"/>
      <c r="AC56" s="10"/>
      <c r="AD56" s="10"/>
      <c r="AE56" s="10"/>
      <c r="AH56" s="48"/>
      <c r="AI56" s="25"/>
      <c r="AK56" s="59"/>
      <c r="AL56" s="25"/>
      <c r="AM56" s="59"/>
      <c r="AN56" s="59"/>
      <c r="AT56" s="54"/>
      <c r="AU56" s="54"/>
      <c r="AV56" s="54"/>
    </row>
    <row r="57" spans="1:49" x14ac:dyDescent="0.2">
      <c r="A57" s="52"/>
      <c r="B57" s="52"/>
      <c r="C57" s="52"/>
      <c r="D57" s="52"/>
      <c r="F57" s="52"/>
      <c r="G57" s="52"/>
      <c r="H57" s="52"/>
      <c r="I57" s="52"/>
      <c r="K57" s="75"/>
      <c r="N57" s="10"/>
      <c r="O57" s="10"/>
      <c r="P57" s="10"/>
      <c r="Q57" s="10"/>
      <c r="R57" s="10"/>
      <c r="S57" s="10"/>
      <c r="T57" s="10"/>
      <c r="U57" s="10"/>
      <c r="V57" s="10"/>
      <c r="W57" s="10"/>
      <c r="X57" s="10"/>
      <c r="Y57" s="10"/>
      <c r="Z57" s="10"/>
      <c r="AA57" s="10"/>
      <c r="AB57" s="10"/>
      <c r="AC57" s="10"/>
      <c r="AD57" s="10"/>
      <c r="AE57" s="10"/>
      <c r="AH57" s="48"/>
      <c r="AI57" s="25"/>
      <c r="AK57" s="59"/>
      <c r="AL57" s="25"/>
      <c r="AM57" s="59"/>
      <c r="AN57" s="59"/>
      <c r="AT57" s="54"/>
      <c r="AU57" s="54"/>
      <c r="AV57" s="56"/>
    </row>
    <row r="58" spans="1:49" x14ac:dyDescent="0.2">
      <c r="A58" s="52"/>
      <c r="B58" s="52"/>
      <c r="C58" s="25"/>
      <c r="F58" s="25"/>
      <c r="G58" s="25"/>
      <c r="H58" s="25"/>
      <c r="I58" s="25"/>
      <c r="AH58" s="48"/>
      <c r="AI58" s="25"/>
      <c r="AK58" s="42"/>
      <c r="AL58" s="25"/>
      <c r="AM58" s="59"/>
      <c r="AN58" s="59"/>
      <c r="AT58" s="25"/>
      <c r="AU58" s="38"/>
      <c r="AV58" s="32"/>
    </row>
    <row r="59" spans="1:49" x14ac:dyDescent="0.2">
      <c r="A59" s="25"/>
      <c r="B59" s="25"/>
      <c r="C59" s="25"/>
      <c r="F59" s="25"/>
      <c r="G59" s="25"/>
      <c r="H59" s="25"/>
      <c r="I59" s="25"/>
    </row>
    <row r="60" spans="1:49" x14ac:dyDescent="0.2">
      <c r="A60" s="25"/>
      <c r="B60" s="25"/>
      <c r="C60" s="65"/>
      <c r="D60" s="93"/>
      <c r="E60" s="66"/>
      <c r="F60" s="65"/>
      <c r="G60" s="93"/>
      <c r="H60" s="66"/>
      <c r="I60" s="65"/>
    </row>
    <row r="61" spans="1:49" x14ac:dyDescent="0.2">
      <c r="A61" s="25"/>
      <c r="B61" s="25"/>
      <c r="C61" s="25"/>
      <c r="D61" s="25"/>
      <c r="E61" s="25"/>
      <c r="F61" s="25"/>
      <c r="G61" s="25"/>
      <c r="H61" s="25"/>
      <c r="I61" s="25"/>
    </row>
    <row r="62" spans="1:49" x14ac:dyDescent="0.2">
      <c r="C62" s="42"/>
      <c r="D62" s="42"/>
      <c r="E62" s="42"/>
      <c r="F62" s="42"/>
      <c r="G62" s="42"/>
      <c r="H62" s="42"/>
      <c r="I62" s="42"/>
    </row>
    <row r="63" spans="1:49" x14ac:dyDescent="0.2">
      <c r="A63" s="30"/>
      <c r="B63" s="30"/>
      <c r="C63" s="30"/>
      <c r="D63" s="64"/>
      <c r="E63" s="30"/>
      <c r="F63" s="30"/>
      <c r="G63" s="47"/>
      <c r="I63" s="30"/>
    </row>
    <row r="64" spans="1:49" x14ac:dyDescent="0.2">
      <c r="A64" s="72"/>
      <c r="C64" s="42"/>
      <c r="D64" s="42"/>
      <c r="E64" s="42"/>
      <c r="F64" s="42"/>
      <c r="G64" s="42"/>
      <c r="H64" s="42"/>
      <c r="I64" s="42"/>
    </row>
    <row r="65" spans="1:9" x14ac:dyDescent="0.2">
      <c r="A65" s="72"/>
      <c r="C65" s="42"/>
      <c r="D65" s="42"/>
      <c r="E65" s="42"/>
      <c r="F65" s="42"/>
      <c r="G65" s="42"/>
      <c r="H65" s="42"/>
      <c r="I65" s="42"/>
    </row>
    <row r="66" spans="1:9" x14ac:dyDescent="0.2">
      <c r="A66" s="57"/>
      <c r="C66" s="42"/>
      <c r="D66" s="42"/>
      <c r="E66" s="42"/>
      <c r="F66" s="42"/>
      <c r="G66" s="42"/>
      <c r="H66" s="42"/>
      <c r="I66" s="42"/>
    </row>
    <row r="67" spans="1:9" x14ac:dyDescent="0.2">
      <c r="A67" s="72"/>
      <c r="C67" s="42"/>
      <c r="D67" s="42"/>
      <c r="E67" s="42"/>
      <c r="F67" s="42"/>
      <c r="G67" s="42"/>
      <c r="H67" s="42"/>
      <c r="I67" s="42"/>
    </row>
    <row r="68" spans="1:9" x14ac:dyDescent="0.2">
      <c r="A68" s="72"/>
      <c r="C68" s="42"/>
      <c r="D68" s="42"/>
      <c r="E68" s="42"/>
      <c r="F68" s="42"/>
      <c r="G68" s="42"/>
      <c r="H68" s="42"/>
      <c r="I68" s="42"/>
    </row>
    <row r="69" spans="1:9" x14ac:dyDescent="0.2">
      <c r="A69" s="72"/>
      <c r="C69" s="42"/>
      <c r="D69" s="42"/>
      <c r="E69" s="42"/>
      <c r="F69" s="42"/>
      <c r="G69" s="42"/>
      <c r="H69" s="42"/>
      <c r="I69" s="42"/>
    </row>
    <row r="70" spans="1:9" x14ac:dyDescent="0.2">
      <c r="A70" s="88"/>
      <c r="B70" s="53"/>
      <c r="C70" s="53"/>
      <c r="D70" s="53"/>
      <c r="E70" s="53"/>
      <c r="F70" s="53"/>
      <c r="G70" s="53"/>
      <c r="H70" s="53"/>
      <c r="I70" s="53"/>
    </row>
    <row r="71" spans="1:9" x14ac:dyDescent="0.2">
      <c r="C71" s="42"/>
      <c r="D71" s="42"/>
      <c r="E71" s="42"/>
      <c r="F71" s="42"/>
      <c r="G71" s="25"/>
      <c r="H71" s="42"/>
      <c r="I71" s="42"/>
    </row>
    <row r="72" spans="1:9" x14ac:dyDescent="0.2">
      <c r="A72" s="54"/>
      <c r="B72" s="25"/>
      <c r="C72" s="25"/>
      <c r="D72" s="25"/>
      <c r="E72" s="25"/>
      <c r="F72" s="25"/>
      <c r="G72" s="25"/>
    </row>
    <row r="74" spans="1:9" x14ac:dyDescent="0.2">
      <c r="A74" s="43"/>
      <c r="B74" s="43"/>
      <c r="C74" s="43"/>
      <c r="D74" s="43"/>
      <c r="E74" s="43"/>
      <c r="F74" s="43"/>
      <c r="G74" s="43"/>
      <c r="H74" s="43"/>
      <c r="I74" s="43"/>
    </row>
    <row r="75" spans="1:9" x14ac:dyDescent="0.2">
      <c r="A75" s="40"/>
      <c r="B75" s="40"/>
      <c r="C75" s="40"/>
      <c r="E75" s="47"/>
      <c r="F75" s="25"/>
      <c r="G75" s="25"/>
      <c r="H75" s="25"/>
      <c r="I75" s="47"/>
    </row>
    <row r="76" spans="1:9" x14ac:dyDescent="0.2">
      <c r="A76" s="52"/>
      <c r="B76" s="52"/>
      <c r="C76" s="52"/>
      <c r="D76" s="52"/>
      <c r="E76" s="54"/>
      <c r="F76" s="54"/>
      <c r="G76" s="54"/>
      <c r="H76" s="54"/>
      <c r="I76" s="54"/>
    </row>
    <row r="77" spans="1:9" x14ac:dyDescent="0.2">
      <c r="A77" s="84"/>
      <c r="B77" s="84"/>
      <c r="C77" s="84"/>
      <c r="D77" s="84"/>
      <c r="E77" s="47"/>
      <c r="I77" s="47"/>
    </row>
    <row r="78" spans="1:9" x14ac:dyDescent="0.2">
      <c r="A78" s="53"/>
      <c r="B78" s="53"/>
      <c r="C78" s="53"/>
      <c r="E78" s="42"/>
      <c r="F78" s="25"/>
      <c r="G78" s="25"/>
      <c r="H78" s="25"/>
      <c r="I78" s="10"/>
    </row>
    <row r="79" spans="1:9" x14ac:dyDescent="0.2">
      <c r="A79" s="53"/>
      <c r="B79" s="53"/>
      <c r="C79" s="53"/>
      <c r="E79" s="42"/>
      <c r="F79" s="25"/>
      <c r="G79" s="25"/>
      <c r="H79" s="25"/>
      <c r="I79" s="10"/>
    </row>
    <row r="80" spans="1:9" x14ac:dyDescent="0.2">
      <c r="A80" s="57"/>
      <c r="B80" s="53"/>
      <c r="C80" s="53"/>
      <c r="E80" s="42"/>
      <c r="F80" s="25"/>
      <c r="G80" s="25"/>
      <c r="H80" s="25"/>
      <c r="I80" s="10"/>
    </row>
    <row r="81" spans="1:9" x14ac:dyDescent="0.2">
      <c r="A81" s="53"/>
      <c r="B81" s="53"/>
      <c r="C81" s="53"/>
      <c r="E81" s="42"/>
      <c r="F81" s="25"/>
      <c r="G81" s="25"/>
      <c r="H81" s="25"/>
      <c r="I81" s="10"/>
    </row>
    <row r="82" spans="1:9" x14ac:dyDescent="0.2">
      <c r="A82" s="88"/>
      <c r="B82" s="53"/>
      <c r="C82" s="53"/>
      <c r="D82" s="53"/>
      <c r="E82" s="53"/>
      <c r="F82" s="53"/>
      <c r="G82" s="53"/>
      <c r="H82" s="53"/>
      <c r="I82" s="53"/>
    </row>
    <row r="87" spans="1:9" x14ac:dyDescent="0.2">
      <c r="A87" s="40"/>
      <c r="B87" s="40"/>
      <c r="C87" s="40"/>
      <c r="D87" s="40"/>
      <c r="E87" s="40"/>
      <c r="F87" s="40"/>
      <c r="G87" s="40"/>
      <c r="H87" s="40"/>
      <c r="I87" s="40"/>
    </row>
    <row r="88" spans="1:9" x14ac:dyDescent="0.2">
      <c r="A88" s="51"/>
      <c r="B88" s="51"/>
      <c r="C88" s="51"/>
      <c r="D88" s="52"/>
      <c r="E88" s="52"/>
      <c r="F88" s="52"/>
      <c r="G88" s="52"/>
      <c r="I88" s="52"/>
    </row>
    <row r="89" spans="1:9" x14ac:dyDescent="0.2">
      <c r="A89" s="51"/>
      <c r="B89" s="51"/>
      <c r="C89" s="51"/>
      <c r="D89" s="40"/>
      <c r="G89" s="40"/>
      <c r="H89" s="40"/>
      <c r="I89" s="40"/>
    </row>
    <row r="90" spans="1:9" x14ac:dyDescent="0.2">
      <c r="A90" s="53"/>
      <c r="B90" s="53"/>
      <c r="C90" s="53"/>
      <c r="D90" s="42"/>
      <c r="E90" s="25"/>
      <c r="F90" s="25"/>
      <c r="G90" s="42"/>
      <c r="H90" s="25"/>
      <c r="I90" s="25"/>
    </row>
    <row r="91" spans="1:9" x14ac:dyDescent="0.2">
      <c r="A91" s="53"/>
      <c r="B91" s="53"/>
      <c r="C91" s="53"/>
      <c r="D91" s="42"/>
      <c r="E91" s="25"/>
      <c r="F91" s="25"/>
      <c r="G91" s="42"/>
      <c r="H91" s="25"/>
      <c r="I91" s="25"/>
    </row>
    <row r="92" spans="1:9" x14ac:dyDescent="0.2">
      <c r="A92" s="53"/>
      <c r="B92" s="53"/>
      <c r="C92" s="53"/>
      <c r="D92" s="42"/>
      <c r="E92" s="25"/>
      <c r="F92" s="25"/>
      <c r="G92" s="42"/>
      <c r="H92" s="25"/>
      <c r="I92" s="25"/>
    </row>
  </sheetData>
  <mergeCells count="66">
    <mergeCell ref="B31:C31"/>
    <mergeCell ref="B3:J4"/>
    <mergeCell ref="B5:C5"/>
    <mergeCell ref="J9:J11"/>
    <mergeCell ref="B12:J12"/>
    <mergeCell ref="B13:C13"/>
    <mergeCell ref="B14:C14"/>
    <mergeCell ref="G6:G11"/>
    <mergeCell ref="I9:I11"/>
    <mergeCell ref="I6:I8"/>
    <mergeCell ref="J6:J8"/>
    <mergeCell ref="E9:E11"/>
    <mergeCell ref="F9:F11"/>
    <mergeCell ref="D6:F8"/>
    <mergeCell ref="D9:D11"/>
    <mergeCell ref="B26:C26"/>
    <mergeCell ref="B27:C27"/>
    <mergeCell ref="B28:C28"/>
    <mergeCell ref="B29:C29"/>
    <mergeCell ref="B30:C30"/>
    <mergeCell ref="B20:C20"/>
    <mergeCell ref="B22:J22"/>
    <mergeCell ref="B23:C23"/>
    <mergeCell ref="B24:C24"/>
    <mergeCell ref="B25:C25"/>
    <mergeCell ref="B15:C15"/>
    <mergeCell ref="B16:C16"/>
    <mergeCell ref="B17:C17"/>
    <mergeCell ref="B18:C18"/>
    <mergeCell ref="B19:C19"/>
    <mergeCell ref="E55:G55"/>
    <mergeCell ref="H55:J55"/>
    <mergeCell ref="B32:J32"/>
    <mergeCell ref="B33:C33"/>
    <mergeCell ref="H6:H11"/>
    <mergeCell ref="B50:D51"/>
    <mergeCell ref="B52:D53"/>
    <mergeCell ref="B54:D55"/>
    <mergeCell ref="B34:C34"/>
    <mergeCell ref="B35:C35"/>
    <mergeCell ref="E54:G54"/>
    <mergeCell ref="H54:J54"/>
    <mergeCell ref="B6:C11"/>
    <mergeCell ref="H49:J49"/>
    <mergeCell ref="B21:C21"/>
    <mergeCell ref="E53:G53"/>
    <mergeCell ref="H53:J53"/>
    <mergeCell ref="E52:G52"/>
    <mergeCell ref="H52:J52"/>
    <mergeCell ref="E50:G50"/>
    <mergeCell ref="H50:J50"/>
    <mergeCell ref="E51:G51"/>
    <mergeCell ref="H51:J51"/>
    <mergeCell ref="B36:C36"/>
    <mergeCell ref="B48:D48"/>
    <mergeCell ref="E48:G48"/>
    <mergeCell ref="H48:J48"/>
    <mergeCell ref="E49:G49"/>
    <mergeCell ref="B41:C41"/>
    <mergeCell ref="B49:D49"/>
    <mergeCell ref="B38:C38"/>
    <mergeCell ref="B39:C39"/>
    <mergeCell ref="B40:C40"/>
    <mergeCell ref="B42:C42"/>
    <mergeCell ref="B46:J47"/>
    <mergeCell ref="B37:C37"/>
  </mergeCells>
  <dataValidations count="2">
    <dataValidation type="list" allowBlank="1" showInputMessage="1" showErrorMessage="1" sqref="AJ55 N7 N34" xr:uid="{00000000-0002-0000-0900-000000000000}">
      <formula1>Local</formula1>
    </dataValidation>
    <dataValidation type="whole" allowBlank="1" showInputMessage="1" showErrorMessage="1" sqref="I33:I41 I23:I31 I13:I21" xr:uid="{00000000-0002-0000-0900-000001000000}">
      <formula1>0</formula1>
      <formula2>78300</formula2>
    </dataValidation>
  </dataValidations>
  <pageMargins left="0.7" right="0.7" top="0.75" bottom="0.75" header="0.3" footer="0.3"/>
  <pageSetup orientation="portrait" r:id="rId1"/>
  <ignoredErrors>
    <ignoredError sqref="B5 D5:J5 B48 E48 H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BF90"/>
  <sheetViews>
    <sheetView workbookViewId="0"/>
  </sheetViews>
  <sheetFormatPr defaultColWidth="9.140625" defaultRowHeight="12.75" x14ac:dyDescent="0.2"/>
  <cols>
    <col min="1" max="7" width="13.7109375" style="31" customWidth="1"/>
    <col min="8" max="8" width="15.28515625" style="31" customWidth="1"/>
    <col min="9" max="10" width="13.7109375" style="31" customWidth="1"/>
    <col min="11" max="15" width="10.7109375" style="31" customWidth="1"/>
    <col min="16" max="22" width="13.7109375" style="31" customWidth="1"/>
    <col min="23" max="32" width="12.7109375" style="31" customWidth="1"/>
    <col min="33" max="38" width="9.140625" style="31"/>
    <col min="39" max="39" width="11" style="31" customWidth="1"/>
    <col min="40" max="40" width="12.42578125" style="31" customWidth="1"/>
    <col min="41" max="41" width="10.42578125" style="31" customWidth="1"/>
    <col min="42" max="42" width="10.7109375" style="31" customWidth="1"/>
    <col min="43" max="43" width="12.42578125" style="31" customWidth="1"/>
    <col min="44" max="44" width="10.42578125" style="31" customWidth="1"/>
    <col min="45" max="45" width="11.7109375" style="31" customWidth="1"/>
    <col min="46" max="46" width="10.42578125" style="31" customWidth="1"/>
    <col min="47" max="48" width="9.140625" style="31"/>
    <col min="49" max="49" width="10.140625" style="31" customWidth="1"/>
    <col min="50" max="16384" width="9.140625" style="31"/>
  </cols>
  <sheetData>
    <row r="1" spans="1:58" x14ac:dyDescent="0.2">
      <c r="Q1" s="32"/>
      <c r="T1" s="25"/>
      <c r="Z1" s="78"/>
    </row>
    <row r="2" spans="1:58" ht="13.5" thickBot="1" x14ac:dyDescent="0.25">
      <c r="Q2" s="32"/>
      <c r="T2" s="25"/>
      <c r="Z2" s="78"/>
    </row>
    <row r="3" spans="1:58" ht="13.5" thickTop="1" x14ac:dyDescent="0.2">
      <c r="A3" s="43"/>
      <c r="B3" s="615" t="s">
        <v>240</v>
      </c>
      <c r="C3" s="616"/>
      <c r="D3" s="616"/>
      <c r="E3" s="616"/>
      <c r="F3" s="616"/>
      <c r="G3" s="616"/>
      <c r="H3" s="616"/>
      <c r="I3" s="616"/>
      <c r="J3" s="616"/>
      <c r="K3" s="616"/>
      <c r="L3" s="616"/>
      <c r="M3" s="616"/>
      <c r="N3" s="616"/>
      <c r="O3" s="616"/>
      <c r="P3" s="74"/>
      <c r="Q3" s="52"/>
      <c r="R3" s="52"/>
      <c r="S3" s="52"/>
      <c r="T3" s="52"/>
      <c r="U3" s="52"/>
      <c r="V3" s="52"/>
      <c r="W3" s="52"/>
      <c r="X3" s="52"/>
      <c r="Y3" s="52"/>
      <c r="Z3" s="84"/>
      <c r="AA3" s="84"/>
      <c r="AB3" s="54"/>
      <c r="AC3" s="54"/>
      <c r="AD3" s="54"/>
      <c r="AM3" s="54"/>
      <c r="AW3" s="54"/>
      <c r="AX3" s="54"/>
      <c r="AY3" s="54"/>
      <c r="AZ3" s="54"/>
      <c r="BA3" s="54"/>
      <c r="BB3" s="54"/>
      <c r="BC3" s="54"/>
      <c r="BD3" s="54"/>
      <c r="BE3" s="54"/>
      <c r="BF3" s="54"/>
    </row>
    <row r="4" spans="1:58" ht="13.5" thickBot="1" x14ac:dyDescent="0.25">
      <c r="A4" s="54"/>
      <c r="B4" s="617"/>
      <c r="C4" s="617"/>
      <c r="D4" s="617"/>
      <c r="E4" s="617"/>
      <c r="F4" s="617"/>
      <c r="G4" s="617"/>
      <c r="H4" s="617"/>
      <c r="I4" s="617"/>
      <c r="J4" s="617"/>
      <c r="K4" s="617"/>
      <c r="L4" s="617"/>
      <c r="M4" s="617"/>
      <c r="N4" s="617"/>
      <c r="O4" s="617"/>
      <c r="P4" s="25"/>
      <c r="Q4" s="52"/>
      <c r="R4" s="52"/>
      <c r="S4" s="52"/>
      <c r="T4" s="52"/>
      <c r="U4" s="52"/>
      <c r="V4" s="52"/>
      <c r="W4" s="52"/>
      <c r="X4" s="52"/>
      <c r="Y4" s="52"/>
      <c r="Z4" s="84"/>
      <c r="AA4" s="84"/>
      <c r="AB4" s="25"/>
      <c r="AC4" s="25"/>
      <c r="AD4" s="25"/>
      <c r="AW4" s="54"/>
      <c r="AX4" s="54"/>
      <c r="AY4" s="54"/>
      <c r="AZ4" s="54"/>
      <c r="BA4" s="54"/>
      <c r="BB4" s="54"/>
      <c r="BC4" s="54"/>
      <c r="BD4" s="54"/>
      <c r="BE4" s="54"/>
      <c r="BF4" s="54"/>
    </row>
    <row r="5" spans="1:58" x14ac:dyDescent="0.2">
      <c r="B5" s="602" t="s">
        <v>19</v>
      </c>
      <c r="C5" s="436"/>
      <c r="D5" s="50" t="s">
        <v>20</v>
      </c>
      <c r="E5" s="50" t="s">
        <v>21</v>
      </c>
      <c r="F5" s="50" t="s">
        <v>22</v>
      </c>
      <c r="G5" s="50" t="s">
        <v>23</v>
      </c>
      <c r="H5" s="50" t="s">
        <v>24</v>
      </c>
      <c r="I5" s="50" t="s">
        <v>25</v>
      </c>
      <c r="J5" s="50" t="s">
        <v>26</v>
      </c>
      <c r="K5" s="50" t="s">
        <v>27</v>
      </c>
      <c r="L5" s="50" t="s">
        <v>28</v>
      </c>
      <c r="M5" s="50" t="s">
        <v>29</v>
      </c>
      <c r="N5" s="50" t="s">
        <v>30</v>
      </c>
      <c r="O5" s="109" t="s">
        <v>31</v>
      </c>
      <c r="P5" s="56"/>
      <c r="Q5" s="51"/>
      <c r="R5" s="51"/>
      <c r="S5" s="51"/>
      <c r="T5" s="74"/>
      <c r="U5" s="74"/>
      <c r="V5" s="74"/>
      <c r="W5" s="74"/>
      <c r="X5" s="74"/>
      <c r="Y5" s="74"/>
      <c r="AB5" s="74"/>
      <c r="AC5" s="74"/>
      <c r="AD5" s="74"/>
      <c r="AM5" s="54"/>
      <c r="AN5" s="54"/>
      <c r="AO5" s="54"/>
      <c r="AP5" s="25"/>
      <c r="AQ5" s="54"/>
      <c r="AR5" s="25"/>
      <c r="AS5" s="25"/>
      <c r="AT5" s="25"/>
      <c r="AW5" s="54"/>
      <c r="AX5" s="54"/>
      <c r="AY5" s="54"/>
      <c r="AZ5" s="54"/>
      <c r="BA5" s="54"/>
      <c r="BB5" s="54"/>
      <c r="BC5" s="54"/>
      <c r="BD5" s="54"/>
      <c r="BE5" s="54"/>
      <c r="BF5" s="54"/>
    </row>
    <row r="6" spans="1:58" x14ac:dyDescent="0.2">
      <c r="B6" s="660" t="s">
        <v>241</v>
      </c>
      <c r="C6" s="661"/>
      <c r="D6" s="651" t="s">
        <v>50</v>
      </c>
      <c r="E6" s="652"/>
      <c r="F6" s="652"/>
      <c r="G6" s="651" t="s">
        <v>261</v>
      </c>
      <c r="H6" s="626" t="s">
        <v>37</v>
      </c>
      <c r="I6" s="626" t="s">
        <v>247</v>
      </c>
      <c r="J6" s="626" t="s">
        <v>248</v>
      </c>
      <c r="K6" s="626" t="s">
        <v>249</v>
      </c>
      <c r="L6" s="626" t="s">
        <v>250</v>
      </c>
      <c r="M6" s="626" t="s">
        <v>253</v>
      </c>
      <c r="N6" s="626" t="s">
        <v>254</v>
      </c>
      <c r="O6" s="649" t="s">
        <v>259</v>
      </c>
      <c r="Q6" s="84"/>
      <c r="R6" s="84"/>
      <c r="S6" s="84"/>
      <c r="T6" s="74"/>
      <c r="U6" s="74"/>
      <c r="V6" s="74"/>
      <c r="X6" s="54"/>
      <c r="AB6" s="54"/>
      <c r="AC6" s="54"/>
      <c r="AD6" s="54"/>
      <c r="AM6" s="54"/>
      <c r="AN6" s="54"/>
      <c r="AO6" s="25"/>
      <c r="AP6" s="25"/>
      <c r="AQ6" s="25"/>
      <c r="AR6" s="25"/>
      <c r="AS6" s="25"/>
      <c r="AT6" s="25"/>
      <c r="AW6" s="54"/>
      <c r="AX6" s="54"/>
      <c r="AY6" s="54"/>
      <c r="AZ6" s="54"/>
      <c r="BA6" s="54"/>
      <c r="BB6" s="54"/>
      <c r="BC6" s="54"/>
      <c r="BD6" s="54"/>
      <c r="BE6" s="54"/>
      <c r="BF6" s="54"/>
    </row>
    <row r="7" spans="1:58" x14ac:dyDescent="0.2">
      <c r="B7" s="631"/>
      <c r="C7" s="630"/>
      <c r="D7" s="652"/>
      <c r="E7" s="652"/>
      <c r="F7" s="652"/>
      <c r="G7" s="658"/>
      <c r="H7" s="627"/>
      <c r="I7" s="437"/>
      <c r="J7" s="437"/>
      <c r="K7" s="437"/>
      <c r="L7" s="437"/>
      <c r="M7" s="437"/>
      <c r="N7" s="437"/>
      <c r="O7" s="551"/>
      <c r="Q7" s="48"/>
      <c r="R7" s="25"/>
      <c r="S7" s="25"/>
      <c r="T7" s="49"/>
      <c r="U7" s="49"/>
      <c r="V7" s="49"/>
      <c r="W7" s="49"/>
      <c r="X7" s="49"/>
      <c r="Y7" s="49"/>
      <c r="Z7" s="49"/>
      <c r="AA7" s="49"/>
      <c r="AB7" s="25"/>
      <c r="AC7" s="54"/>
      <c r="AD7" s="25"/>
      <c r="AM7" s="25"/>
      <c r="AN7" s="25"/>
      <c r="AO7" s="25"/>
      <c r="AP7" s="25"/>
      <c r="AQ7" s="105"/>
      <c r="AR7" s="105"/>
      <c r="AS7" s="105"/>
      <c r="AT7" s="105"/>
      <c r="AW7" s="33"/>
      <c r="AX7" s="30"/>
      <c r="AY7" s="30"/>
      <c r="AZ7" s="30"/>
      <c r="BA7" s="30"/>
      <c r="BB7" s="30"/>
      <c r="BC7" s="30"/>
      <c r="BD7" s="30"/>
      <c r="BE7" s="30"/>
      <c r="BF7" s="30"/>
    </row>
    <row r="8" spans="1:58" x14ac:dyDescent="0.2">
      <c r="B8" s="631"/>
      <c r="C8" s="630"/>
      <c r="D8" s="655" t="s">
        <v>243</v>
      </c>
      <c r="E8" s="655" t="s">
        <v>299</v>
      </c>
      <c r="F8" s="655" t="s">
        <v>244</v>
      </c>
      <c r="G8" s="658"/>
      <c r="H8" s="627"/>
      <c r="I8" s="655" t="s">
        <v>251</v>
      </c>
      <c r="J8" s="655" t="s">
        <v>252</v>
      </c>
      <c r="K8" s="648" t="s">
        <v>255</v>
      </c>
      <c r="L8" s="648" t="s">
        <v>256</v>
      </c>
      <c r="M8" s="648" t="s">
        <v>257</v>
      </c>
      <c r="N8" s="648" t="s">
        <v>258</v>
      </c>
      <c r="O8" s="646" t="s">
        <v>260</v>
      </c>
      <c r="P8" s="57"/>
      <c r="T8" s="45"/>
      <c r="U8" s="45"/>
      <c r="V8" s="45"/>
      <c r="W8" s="45"/>
      <c r="X8" s="45"/>
      <c r="Y8" s="45"/>
      <c r="Z8" s="45"/>
      <c r="AA8" s="45"/>
      <c r="AB8" s="25"/>
      <c r="AC8" s="25"/>
      <c r="AD8" s="25"/>
      <c r="AM8" s="25"/>
      <c r="AN8" s="25"/>
      <c r="AO8" s="25"/>
      <c r="AP8" s="25"/>
      <c r="AQ8" s="106"/>
      <c r="AR8" s="106"/>
      <c r="AS8" s="106"/>
      <c r="AT8" s="106"/>
      <c r="AW8" s="33"/>
      <c r="AX8" s="30"/>
      <c r="AY8" s="30"/>
      <c r="AZ8" s="30"/>
      <c r="BA8" s="30"/>
      <c r="BB8" s="30"/>
      <c r="BC8" s="30"/>
      <c r="BD8" s="30"/>
      <c r="BE8" s="30"/>
      <c r="BF8" s="30"/>
    </row>
    <row r="9" spans="1:58" ht="13.5" thickBot="1" x14ac:dyDescent="0.25">
      <c r="A9" s="54"/>
      <c r="B9" s="662"/>
      <c r="C9" s="663"/>
      <c r="D9" s="657"/>
      <c r="E9" s="657"/>
      <c r="F9" s="657"/>
      <c r="G9" s="659"/>
      <c r="H9" s="654"/>
      <c r="I9" s="656"/>
      <c r="J9" s="656"/>
      <c r="K9" s="654"/>
      <c r="L9" s="654"/>
      <c r="M9" s="654"/>
      <c r="N9" s="654"/>
      <c r="O9" s="647"/>
      <c r="P9" s="56"/>
      <c r="Q9" s="85"/>
      <c r="R9" s="86"/>
      <c r="S9" s="86"/>
      <c r="T9" s="87"/>
      <c r="U9" s="87"/>
      <c r="V9" s="87"/>
      <c r="W9" s="42"/>
      <c r="X9" s="42"/>
      <c r="Y9" s="42"/>
      <c r="Z9" s="42"/>
      <c r="AA9" s="42"/>
      <c r="AM9" s="48"/>
      <c r="AN9" s="25"/>
      <c r="AO9" s="64"/>
      <c r="AP9" s="25"/>
      <c r="AQ9" s="103"/>
      <c r="AR9" s="103"/>
      <c r="AS9" s="107"/>
      <c r="AT9" s="107"/>
      <c r="AW9" s="33"/>
      <c r="AX9" s="30"/>
      <c r="AY9" s="30"/>
      <c r="AZ9" s="30"/>
      <c r="BA9" s="30"/>
      <c r="BB9" s="30"/>
      <c r="BC9" s="30"/>
      <c r="BD9" s="30"/>
      <c r="BE9" s="30"/>
      <c r="BF9" s="30"/>
    </row>
    <row r="10" spans="1:58" x14ac:dyDescent="0.2">
      <c r="A10" s="33"/>
      <c r="B10" s="625" t="s">
        <v>245</v>
      </c>
      <c r="C10" s="625"/>
      <c r="D10" s="625"/>
      <c r="E10" s="625"/>
      <c r="F10" s="625"/>
      <c r="G10" s="625"/>
      <c r="H10" s="625"/>
      <c r="I10" s="625"/>
      <c r="J10" s="625"/>
      <c r="K10" s="625"/>
      <c r="L10" s="625"/>
      <c r="M10" s="625"/>
      <c r="N10" s="625"/>
      <c r="O10" s="625"/>
      <c r="P10" s="78"/>
      <c r="Q10" s="85"/>
      <c r="R10" s="86"/>
      <c r="S10" s="86"/>
      <c r="T10" s="42"/>
      <c r="U10" s="42"/>
      <c r="V10" s="42"/>
      <c r="W10" s="42"/>
      <c r="X10" s="42"/>
      <c r="Y10" s="42"/>
      <c r="Z10" s="42"/>
      <c r="AA10" s="42"/>
      <c r="AB10" s="10"/>
      <c r="AC10" s="10"/>
      <c r="AD10" s="10"/>
      <c r="AM10" s="25"/>
      <c r="AN10" s="25"/>
      <c r="AO10" s="25"/>
      <c r="AP10" s="25"/>
      <c r="AQ10" s="103"/>
      <c r="AR10" s="103"/>
      <c r="AS10" s="103"/>
      <c r="AT10" s="103"/>
      <c r="AW10" s="33"/>
      <c r="AX10" s="30"/>
      <c r="AY10" s="30"/>
      <c r="AZ10" s="30"/>
      <c r="BA10" s="30"/>
      <c r="BB10" s="30"/>
      <c r="BC10" s="30"/>
      <c r="BD10" s="30"/>
      <c r="BE10" s="30"/>
      <c r="BF10" s="30"/>
    </row>
    <row r="11" spans="1:58" x14ac:dyDescent="0.2">
      <c r="A11" s="33"/>
      <c r="B11" s="612" t="s">
        <v>382</v>
      </c>
      <c r="C11" s="427"/>
      <c r="D11" s="68">
        <f ca="1">IFERROR(INDIRECT(B11 &amp; "!" &amp; "$D$68"),0)</f>
        <v>0.16884659260808729</v>
      </c>
      <c r="E11" s="68">
        <f ca="1">IFERROR(INDIRECT(B11 &amp; "!" &amp; "$D$69"),0)</f>
        <v>0.10867750600616373</v>
      </c>
      <c r="F11" s="68">
        <f ca="1">IFERROR(INDIRECT(B11 &amp; "!" &amp; "$D$71"),0)</f>
        <v>6.0169086601923563E-2</v>
      </c>
      <c r="G11" s="112" t="s">
        <v>17</v>
      </c>
      <c r="H11" s="68">
        <f ca="1">IFERROR(INDIRECT(B11 &amp; "!" &amp; "$H$37"),0)</f>
        <v>0.21246032795994022</v>
      </c>
      <c r="I11" s="114">
        <f ca="1">+H11*D11*D11</f>
        <v>6.0570679980071727E-3</v>
      </c>
      <c r="J11" s="114">
        <f ca="1">SQRT(H11*D11)</f>
        <v>0.18940222395851808</v>
      </c>
      <c r="K11" s="112" t="s">
        <v>17</v>
      </c>
      <c r="L11" s="112" t="s">
        <v>17</v>
      </c>
      <c r="M11" s="112" t="s">
        <v>17</v>
      </c>
      <c r="N11" s="112" t="s">
        <v>17</v>
      </c>
      <c r="O11" s="112" t="s">
        <v>17</v>
      </c>
      <c r="P11" s="78"/>
      <c r="Q11" s="85"/>
      <c r="R11" s="86"/>
      <c r="S11" s="86"/>
      <c r="T11" s="42"/>
      <c r="U11" s="42"/>
      <c r="V11" s="42"/>
      <c r="W11" s="42"/>
      <c r="X11" s="42"/>
      <c r="Y11" s="42"/>
      <c r="Z11" s="42"/>
      <c r="AA11" s="42"/>
      <c r="AB11" s="10"/>
      <c r="AC11" s="10"/>
      <c r="AD11" s="10"/>
      <c r="AM11" s="65"/>
      <c r="AN11" s="44"/>
      <c r="AO11" s="64"/>
      <c r="AP11" s="25"/>
      <c r="AQ11" s="103"/>
      <c r="AR11" s="103"/>
      <c r="AS11" s="107"/>
      <c r="AT11" s="107"/>
      <c r="AW11" s="99"/>
    </row>
    <row r="12" spans="1:58" x14ac:dyDescent="0.2">
      <c r="A12" s="33"/>
      <c r="B12" s="612" t="s">
        <v>404</v>
      </c>
      <c r="C12" s="427"/>
      <c r="D12" s="68">
        <f t="shared" ref="D12:D18" ca="1" si="0">IFERROR(INDIRECT(B12 &amp; "!" &amp; "$D$68"),0)</f>
        <v>0</v>
      </c>
      <c r="E12" s="68">
        <f t="shared" ref="E12:E18" ca="1" si="1">IFERROR(INDIRECT(B12 &amp; "!" &amp; "$D$69"),0)</f>
        <v>0</v>
      </c>
      <c r="F12" s="68">
        <f t="shared" ref="F12:F18" ca="1" si="2">IFERROR(INDIRECT(B12 &amp; "!" &amp; "$D$71"),0)</f>
        <v>0</v>
      </c>
      <c r="G12" s="112" t="s">
        <v>17</v>
      </c>
      <c r="H12" s="68">
        <f t="shared" ref="H12:H18" ca="1" si="3">IFERROR(INDIRECT(B12 &amp; "!" &amp; "$H$37"),0)</f>
        <v>0</v>
      </c>
      <c r="I12" s="114">
        <f t="shared" ref="I12:I18" ca="1" si="4">+H12*D12*D12</f>
        <v>0</v>
      </c>
      <c r="J12" s="114">
        <f t="shared" ref="J12:J18" ca="1" si="5">SQRT(H12*D12)</f>
        <v>0</v>
      </c>
      <c r="K12" s="112" t="s">
        <v>17</v>
      </c>
      <c r="L12" s="112" t="s">
        <v>17</v>
      </c>
      <c r="M12" s="112" t="s">
        <v>17</v>
      </c>
      <c r="N12" s="112" t="s">
        <v>17</v>
      </c>
      <c r="O12" s="112" t="s">
        <v>17</v>
      </c>
      <c r="P12" s="78"/>
      <c r="Q12" s="85"/>
      <c r="R12" s="86"/>
      <c r="S12" s="86"/>
      <c r="T12" s="42"/>
      <c r="U12" s="42"/>
      <c r="V12" s="42"/>
      <c r="W12" s="42"/>
      <c r="X12" s="42"/>
      <c r="Y12" s="42"/>
      <c r="Z12" s="42"/>
      <c r="AA12" s="42"/>
      <c r="AB12" s="10"/>
      <c r="AC12" s="10"/>
      <c r="AD12" s="10"/>
      <c r="AM12" s="44"/>
      <c r="AN12" s="44"/>
      <c r="AO12" s="25"/>
      <c r="AP12" s="25"/>
      <c r="AQ12" s="103"/>
      <c r="AR12" s="103"/>
      <c r="AS12" s="103"/>
      <c r="AT12" s="103"/>
    </row>
    <row r="13" spans="1:58" x14ac:dyDescent="0.2">
      <c r="A13" s="33"/>
      <c r="B13" s="612" t="s">
        <v>405</v>
      </c>
      <c r="C13" s="427"/>
      <c r="D13" s="68">
        <f t="shared" ca="1" si="0"/>
        <v>0</v>
      </c>
      <c r="E13" s="68">
        <f t="shared" ca="1" si="1"/>
        <v>0</v>
      </c>
      <c r="F13" s="68">
        <f t="shared" ca="1" si="2"/>
        <v>0</v>
      </c>
      <c r="G13" s="112" t="s">
        <v>17</v>
      </c>
      <c r="H13" s="68">
        <f t="shared" ca="1" si="3"/>
        <v>0</v>
      </c>
      <c r="I13" s="114">
        <f t="shared" ca="1" si="4"/>
        <v>0</v>
      </c>
      <c r="J13" s="114">
        <f t="shared" ca="1" si="5"/>
        <v>0</v>
      </c>
      <c r="K13" s="112" t="s">
        <v>17</v>
      </c>
      <c r="L13" s="112" t="s">
        <v>17</v>
      </c>
      <c r="M13" s="112" t="s">
        <v>17</v>
      </c>
      <c r="N13" s="112" t="s">
        <v>17</v>
      </c>
      <c r="O13" s="112" t="s">
        <v>17</v>
      </c>
      <c r="P13" s="78"/>
      <c r="Q13" s="85"/>
      <c r="R13" s="86"/>
      <c r="S13" s="86"/>
      <c r="T13" s="42"/>
      <c r="U13" s="42"/>
      <c r="V13" s="42"/>
      <c r="W13" s="42"/>
      <c r="X13" s="42"/>
      <c r="Y13" s="42"/>
      <c r="Z13" s="42"/>
      <c r="AA13" s="42"/>
      <c r="AB13" s="10"/>
      <c r="AC13" s="10"/>
      <c r="AD13" s="10"/>
      <c r="AM13" s="44"/>
      <c r="AN13" s="44"/>
      <c r="AO13" s="64"/>
      <c r="AP13" s="30"/>
      <c r="AQ13" s="30"/>
      <c r="AR13" s="30"/>
      <c r="AS13" s="30"/>
      <c r="AT13" s="30"/>
    </row>
    <row r="14" spans="1:58" x14ac:dyDescent="0.2">
      <c r="A14" s="33"/>
      <c r="B14" s="612" t="s">
        <v>406</v>
      </c>
      <c r="C14" s="427"/>
      <c r="D14" s="68">
        <f t="shared" ca="1" si="0"/>
        <v>0</v>
      </c>
      <c r="E14" s="68">
        <f t="shared" ca="1" si="1"/>
        <v>0</v>
      </c>
      <c r="F14" s="68">
        <f t="shared" ca="1" si="2"/>
        <v>0</v>
      </c>
      <c r="G14" s="112" t="s">
        <v>17</v>
      </c>
      <c r="H14" s="68">
        <f t="shared" ca="1" si="3"/>
        <v>0</v>
      </c>
      <c r="I14" s="114">
        <f t="shared" ca="1" si="4"/>
        <v>0</v>
      </c>
      <c r="J14" s="114">
        <f t="shared" ca="1" si="5"/>
        <v>0</v>
      </c>
      <c r="K14" s="112" t="s">
        <v>17</v>
      </c>
      <c r="L14" s="112" t="s">
        <v>17</v>
      </c>
      <c r="M14" s="112" t="s">
        <v>17</v>
      </c>
      <c r="N14" s="112" t="s">
        <v>17</v>
      </c>
      <c r="O14" s="112" t="s">
        <v>17</v>
      </c>
      <c r="P14" s="78"/>
      <c r="Q14" s="85"/>
      <c r="R14" s="86"/>
      <c r="S14" s="86"/>
      <c r="T14" s="42"/>
      <c r="U14" s="42"/>
      <c r="V14" s="42"/>
      <c r="W14" s="42"/>
      <c r="X14" s="42"/>
      <c r="Y14" s="42"/>
      <c r="Z14" s="42"/>
      <c r="AA14" s="42"/>
      <c r="AB14" s="10"/>
      <c r="AC14" s="10"/>
      <c r="AD14" s="10"/>
      <c r="AM14" s="97"/>
      <c r="AN14" s="97"/>
      <c r="AO14" s="90"/>
      <c r="AP14" s="90"/>
      <c r="AQ14" s="90"/>
      <c r="AR14" s="90"/>
      <c r="AS14" s="90"/>
      <c r="AT14" s="90"/>
    </row>
    <row r="15" spans="1:58" x14ac:dyDescent="0.2">
      <c r="A15" s="33"/>
      <c r="B15" s="612" t="s">
        <v>407</v>
      </c>
      <c r="C15" s="427"/>
      <c r="D15" s="68">
        <f t="shared" ca="1" si="0"/>
        <v>0</v>
      </c>
      <c r="E15" s="68">
        <f t="shared" ca="1" si="1"/>
        <v>0</v>
      </c>
      <c r="F15" s="68">
        <f t="shared" ca="1" si="2"/>
        <v>0</v>
      </c>
      <c r="G15" s="112" t="s">
        <v>17</v>
      </c>
      <c r="H15" s="68">
        <f t="shared" ca="1" si="3"/>
        <v>0</v>
      </c>
      <c r="I15" s="114">
        <f t="shared" ca="1" si="4"/>
        <v>0</v>
      </c>
      <c r="J15" s="114">
        <f t="shared" ca="1" si="5"/>
        <v>0</v>
      </c>
      <c r="K15" s="112" t="s">
        <v>17</v>
      </c>
      <c r="L15" s="112" t="s">
        <v>17</v>
      </c>
      <c r="M15" s="112" t="s">
        <v>17</v>
      </c>
      <c r="N15" s="112" t="s">
        <v>17</v>
      </c>
      <c r="O15" s="112" t="s">
        <v>17</v>
      </c>
      <c r="P15" s="78"/>
      <c r="Q15" s="33"/>
      <c r="T15" s="42"/>
      <c r="U15" s="42"/>
      <c r="V15" s="42"/>
      <c r="W15" s="42"/>
      <c r="X15" s="42"/>
      <c r="Y15" s="42"/>
      <c r="Z15" s="42"/>
      <c r="AA15" s="42"/>
      <c r="AB15" s="10"/>
      <c r="AC15" s="10"/>
      <c r="AD15" s="10"/>
      <c r="AM15" s="90"/>
      <c r="AN15" s="90"/>
      <c r="AO15" s="90"/>
      <c r="AP15" s="90"/>
      <c r="AQ15" s="90"/>
      <c r="AR15" s="90"/>
      <c r="AS15" s="90"/>
      <c r="AT15" s="90"/>
      <c r="AW15" s="33"/>
      <c r="BA15" s="30"/>
    </row>
    <row r="16" spans="1:58" x14ac:dyDescent="0.2">
      <c r="A16" s="33"/>
      <c r="B16" s="612" t="s">
        <v>408</v>
      </c>
      <c r="C16" s="427"/>
      <c r="D16" s="68">
        <f t="shared" ca="1" si="0"/>
        <v>0</v>
      </c>
      <c r="E16" s="68">
        <f t="shared" ca="1" si="1"/>
        <v>0</v>
      </c>
      <c r="F16" s="68">
        <f t="shared" ca="1" si="2"/>
        <v>0</v>
      </c>
      <c r="G16" s="112" t="s">
        <v>17</v>
      </c>
      <c r="H16" s="68">
        <f t="shared" ca="1" si="3"/>
        <v>0</v>
      </c>
      <c r="I16" s="114">
        <f t="shared" ca="1" si="4"/>
        <v>0</v>
      </c>
      <c r="J16" s="114">
        <f t="shared" ca="1" si="5"/>
        <v>0</v>
      </c>
      <c r="K16" s="112" t="s">
        <v>17</v>
      </c>
      <c r="L16" s="112" t="s">
        <v>17</v>
      </c>
      <c r="M16" s="112" t="s">
        <v>17</v>
      </c>
      <c r="N16" s="112" t="s">
        <v>17</v>
      </c>
      <c r="O16" s="112" t="s">
        <v>17</v>
      </c>
      <c r="P16" s="78"/>
      <c r="Q16" s="88"/>
      <c r="R16" s="53"/>
      <c r="S16" s="53"/>
      <c r="T16" s="53"/>
      <c r="U16" s="53"/>
      <c r="V16" s="53"/>
      <c r="W16" s="53"/>
      <c r="X16" s="53"/>
      <c r="Y16" s="53"/>
      <c r="Z16" s="53"/>
      <c r="AA16" s="53"/>
      <c r="AB16" s="10"/>
      <c r="AC16" s="10"/>
      <c r="AD16" s="10"/>
      <c r="AM16" s="90"/>
      <c r="AN16" s="97"/>
      <c r="AO16" s="90"/>
      <c r="AP16" s="90"/>
      <c r="AQ16" s="90"/>
      <c r="AR16" s="90"/>
      <c r="AS16" s="90"/>
      <c r="AT16" s="90"/>
    </row>
    <row r="17" spans="1:58" x14ac:dyDescent="0.2">
      <c r="A17" s="33"/>
      <c r="B17" s="612" t="s">
        <v>409</v>
      </c>
      <c r="C17" s="427"/>
      <c r="D17" s="68">
        <f t="shared" ca="1" si="0"/>
        <v>0</v>
      </c>
      <c r="E17" s="68">
        <f t="shared" ca="1" si="1"/>
        <v>0</v>
      </c>
      <c r="F17" s="68">
        <f t="shared" ca="1" si="2"/>
        <v>0</v>
      </c>
      <c r="G17" s="112" t="s">
        <v>17</v>
      </c>
      <c r="H17" s="68">
        <f t="shared" ca="1" si="3"/>
        <v>0</v>
      </c>
      <c r="I17" s="114">
        <f t="shared" ca="1" si="4"/>
        <v>0</v>
      </c>
      <c r="J17" s="114">
        <f t="shared" ca="1" si="5"/>
        <v>0</v>
      </c>
      <c r="K17" s="112" t="s">
        <v>17</v>
      </c>
      <c r="L17" s="112" t="s">
        <v>17</v>
      </c>
      <c r="M17" s="112" t="s">
        <v>17</v>
      </c>
      <c r="N17" s="112" t="s">
        <v>17</v>
      </c>
      <c r="O17" s="112" t="s">
        <v>17</v>
      </c>
      <c r="P17" s="76"/>
      <c r="Q17" s="25"/>
      <c r="R17" s="25"/>
      <c r="S17" s="25"/>
      <c r="T17" s="25"/>
      <c r="U17" s="25"/>
      <c r="V17" s="25"/>
      <c r="W17" s="25"/>
      <c r="X17" s="25"/>
      <c r="Y17" s="25"/>
      <c r="Z17" s="25"/>
      <c r="AA17" s="25"/>
      <c r="AB17" s="10"/>
      <c r="AC17" s="10"/>
      <c r="AD17" s="10"/>
      <c r="AM17" s="90"/>
      <c r="AN17" s="90"/>
      <c r="AO17" s="90"/>
      <c r="AP17" s="90"/>
      <c r="AQ17" s="90"/>
      <c r="AR17" s="90"/>
      <c r="AS17" s="90"/>
      <c r="AT17" s="90"/>
      <c r="AW17" s="33"/>
      <c r="BA17" s="30"/>
    </row>
    <row r="18" spans="1:58" ht="13.5" thickBot="1" x14ac:dyDescent="0.25">
      <c r="B18" s="612" t="s">
        <v>410</v>
      </c>
      <c r="C18" s="427"/>
      <c r="D18" s="68">
        <f t="shared" ca="1" si="0"/>
        <v>0</v>
      </c>
      <c r="E18" s="68">
        <f t="shared" ca="1" si="1"/>
        <v>0</v>
      </c>
      <c r="F18" s="68">
        <f t="shared" ca="1" si="2"/>
        <v>0</v>
      </c>
      <c r="G18" s="163" t="s">
        <v>17</v>
      </c>
      <c r="H18" s="68">
        <f t="shared" ca="1" si="3"/>
        <v>0</v>
      </c>
      <c r="I18" s="114">
        <f t="shared" ca="1" si="4"/>
        <v>0</v>
      </c>
      <c r="J18" s="114">
        <f t="shared" ca="1" si="5"/>
        <v>0</v>
      </c>
      <c r="K18" s="163" t="s">
        <v>17</v>
      </c>
      <c r="L18" s="163" t="s">
        <v>17</v>
      </c>
      <c r="M18" s="163" t="s">
        <v>17</v>
      </c>
      <c r="N18" s="163" t="s">
        <v>17</v>
      </c>
      <c r="O18" s="163" t="s">
        <v>17</v>
      </c>
      <c r="P18" s="75"/>
      <c r="Q18" s="52"/>
      <c r="R18" s="52"/>
      <c r="S18" s="52"/>
      <c r="T18" s="52"/>
      <c r="U18" s="52"/>
      <c r="V18" s="52"/>
      <c r="W18" s="52"/>
      <c r="X18" s="52"/>
      <c r="Y18" s="52"/>
      <c r="Z18" s="84"/>
      <c r="AA18" s="84"/>
      <c r="AB18" s="10"/>
      <c r="AC18" s="10"/>
      <c r="AD18" s="10"/>
    </row>
    <row r="19" spans="1:58" ht="13.5" thickBot="1" x14ac:dyDescent="0.25">
      <c r="B19" s="641" t="s">
        <v>362</v>
      </c>
      <c r="C19" s="642"/>
      <c r="D19" s="160">
        <f ca="1">SUM(D11:D18)</f>
        <v>0.16884659260808729</v>
      </c>
      <c r="E19" s="160">
        <f ca="1">SUM(E11:E18)</f>
        <v>0.10867750600616373</v>
      </c>
      <c r="F19" s="160">
        <f ca="1">SUM(F11:F18)</f>
        <v>6.0169086601923563E-2</v>
      </c>
      <c r="G19" s="164"/>
      <c r="H19" s="160"/>
      <c r="I19" s="165"/>
      <c r="J19" s="166"/>
      <c r="K19" s="164"/>
      <c r="L19" s="164"/>
      <c r="M19" s="164"/>
      <c r="N19" s="164"/>
      <c r="O19" s="167"/>
      <c r="P19" s="75"/>
      <c r="Q19" s="52"/>
      <c r="R19" s="52"/>
      <c r="S19" s="52"/>
      <c r="T19" s="52"/>
      <c r="U19" s="52"/>
      <c r="V19" s="52"/>
      <c r="W19" s="52"/>
      <c r="X19" s="52"/>
      <c r="Y19" s="52"/>
      <c r="Z19" s="84"/>
      <c r="AA19" s="84"/>
      <c r="AB19" s="10"/>
      <c r="AC19" s="10"/>
      <c r="AD19" s="10"/>
    </row>
    <row r="20" spans="1:58" s="208" customFormat="1" x14ac:dyDescent="0.2">
      <c r="A20" s="33"/>
      <c r="B20" s="625" t="s">
        <v>245</v>
      </c>
      <c r="C20" s="625"/>
      <c r="D20" s="625"/>
      <c r="E20" s="625"/>
      <c r="F20" s="625"/>
      <c r="G20" s="625"/>
      <c r="H20" s="625"/>
      <c r="I20" s="625"/>
      <c r="J20" s="625"/>
      <c r="K20" s="625"/>
      <c r="L20" s="625"/>
      <c r="M20" s="625"/>
      <c r="N20" s="625"/>
      <c r="O20" s="625"/>
      <c r="P20" s="78"/>
      <c r="Q20" s="85"/>
      <c r="R20" s="86"/>
      <c r="S20" s="86"/>
      <c r="T20" s="42"/>
      <c r="U20" s="42"/>
      <c r="V20" s="42"/>
      <c r="W20" s="42"/>
      <c r="X20" s="42"/>
      <c r="Y20" s="42"/>
      <c r="Z20" s="42"/>
      <c r="AA20" s="42"/>
      <c r="AB20" s="10"/>
      <c r="AC20" s="10"/>
      <c r="AD20" s="10"/>
      <c r="AM20" s="25"/>
      <c r="AN20" s="25"/>
      <c r="AO20" s="25"/>
      <c r="AP20" s="25"/>
      <c r="AQ20" s="103"/>
      <c r="AR20" s="103"/>
      <c r="AS20" s="103"/>
      <c r="AT20" s="103"/>
      <c r="AW20" s="33"/>
      <c r="AX20" s="30"/>
      <c r="AY20" s="30"/>
      <c r="AZ20" s="30"/>
      <c r="BA20" s="30"/>
      <c r="BB20" s="30"/>
      <c r="BC20" s="30"/>
      <c r="BD20" s="30"/>
      <c r="BE20" s="30"/>
      <c r="BF20" s="30"/>
    </row>
    <row r="21" spans="1:58" s="208" customFormat="1" x14ac:dyDescent="0.2">
      <c r="A21" s="33"/>
      <c r="B21" s="612" t="s">
        <v>383</v>
      </c>
      <c r="C21" s="427"/>
      <c r="D21" s="68">
        <f ca="1">IFERROR(INDIRECT(B21 &amp; "!" &amp; "$D$68"),0)</f>
        <v>0.21664834022453872</v>
      </c>
      <c r="E21" s="68">
        <f ca="1">IFERROR(INDIRECT(B21 &amp; "!" &amp; "$D$69"),0)</f>
        <v>0.15677937373225564</v>
      </c>
      <c r="F21" s="68">
        <f ca="1">IFERROR(INDIRECT(B21 &amp; "!" &amp; "$D$71"),0)</f>
        <v>5.9868966492283071E-2</v>
      </c>
      <c r="G21" s="112" t="s">
        <v>17</v>
      </c>
      <c r="H21" s="68">
        <f ca="1">IFERROR(INDIRECT(B21 &amp; "!" &amp; "$H$37"),0)</f>
        <v>0.18730817948195702</v>
      </c>
      <c r="I21" s="114">
        <f ca="1">+H21*D21*D21</f>
        <v>8.7915909885015412E-3</v>
      </c>
      <c r="J21" s="114">
        <f ca="1">SQRT(H21*D21)</f>
        <v>0.20144479689296019</v>
      </c>
      <c r="K21" s="112" t="s">
        <v>17</v>
      </c>
      <c r="L21" s="112" t="s">
        <v>17</v>
      </c>
      <c r="M21" s="112" t="s">
        <v>17</v>
      </c>
      <c r="N21" s="112" t="s">
        <v>17</v>
      </c>
      <c r="O21" s="112" t="s">
        <v>17</v>
      </c>
      <c r="P21" s="78"/>
      <c r="Q21" s="85"/>
      <c r="R21" s="86"/>
      <c r="S21" s="86"/>
      <c r="T21" s="42"/>
      <c r="U21" s="42"/>
      <c r="V21" s="42"/>
      <c r="W21" s="42"/>
      <c r="X21" s="42"/>
      <c r="Y21" s="42"/>
      <c r="Z21" s="42"/>
      <c r="AA21" s="42"/>
      <c r="AB21" s="10"/>
      <c r="AC21" s="10"/>
      <c r="AD21" s="10"/>
      <c r="AM21" s="65"/>
      <c r="AN21" s="44"/>
      <c r="AO21" s="64"/>
      <c r="AP21" s="25"/>
      <c r="AQ21" s="103"/>
      <c r="AR21" s="103"/>
      <c r="AS21" s="107"/>
      <c r="AT21" s="107"/>
      <c r="AW21" s="99"/>
    </row>
    <row r="22" spans="1:58" s="208" customFormat="1" x14ac:dyDescent="0.2">
      <c r="A22" s="33"/>
      <c r="B22" s="612" t="s">
        <v>411</v>
      </c>
      <c r="C22" s="427"/>
      <c r="D22" s="68">
        <f t="shared" ref="D22:D28" ca="1" si="6">IFERROR(INDIRECT(B22 &amp; "!" &amp; "$D$68"),0)</f>
        <v>0</v>
      </c>
      <c r="E22" s="68">
        <f t="shared" ref="E22:E28" ca="1" si="7">IFERROR(INDIRECT(B22 &amp; "!" &amp; "$D$69"),0)</f>
        <v>0</v>
      </c>
      <c r="F22" s="68">
        <f t="shared" ref="F22:F28" ca="1" si="8">IFERROR(INDIRECT(B22 &amp; "!" &amp; "$D$71"),0)</f>
        <v>0</v>
      </c>
      <c r="G22" s="112" t="s">
        <v>17</v>
      </c>
      <c r="H22" s="68">
        <f t="shared" ref="H22:H28" ca="1" si="9">IFERROR(INDIRECT(B22 &amp; "!" &amp; "$H$37"),0)</f>
        <v>0</v>
      </c>
      <c r="I22" s="114">
        <f t="shared" ref="I22:I28" ca="1" si="10">+H22*D22*D22</f>
        <v>0</v>
      </c>
      <c r="J22" s="114">
        <f t="shared" ref="J22:J28" ca="1" si="11">SQRT(H22*D22)</f>
        <v>0</v>
      </c>
      <c r="K22" s="112" t="s">
        <v>17</v>
      </c>
      <c r="L22" s="112" t="s">
        <v>17</v>
      </c>
      <c r="M22" s="112" t="s">
        <v>17</v>
      </c>
      <c r="N22" s="112" t="s">
        <v>17</v>
      </c>
      <c r="O22" s="112" t="s">
        <v>17</v>
      </c>
      <c r="P22" s="78"/>
      <c r="Q22" s="85"/>
      <c r="R22" s="86"/>
      <c r="S22" s="86"/>
      <c r="T22" s="42"/>
      <c r="U22" s="42"/>
      <c r="V22" s="42"/>
      <c r="W22" s="42"/>
      <c r="X22" s="42"/>
      <c r="Y22" s="42"/>
      <c r="Z22" s="42"/>
      <c r="AA22" s="42"/>
      <c r="AB22" s="10"/>
      <c r="AC22" s="10"/>
      <c r="AD22" s="10"/>
      <c r="AM22" s="44"/>
      <c r="AN22" s="44"/>
      <c r="AO22" s="25"/>
      <c r="AP22" s="25"/>
      <c r="AQ22" s="103"/>
      <c r="AR22" s="103"/>
      <c r="AS22" s="103"/>
      <c r="AT22" s="103"/>
    </row>
    <row r="23" spans="1:58" s="208" customFormat="1" x14ac:dyDescent="0.2">
      <c r="A23" s="33"/>
      <c r="B23" s="612" t="s">
        <v>412</v>
      </c>
      <c r="C23" s="427"/>
      <c r="D23" s="68">
        <f t="shared" ca="1" si="6"/>
        <v>0</v>
      </c>
      <c r="E23" s="68">
        <f t="shared" ca="1" si="7"/>
        <v>0</v>
      </c>
      <c r="F23" s="68">
        <f t="shared" ca="1" si="8"/>
        <v>0</v>
      </c>
      <c r="G23" s="112" t="s">
        <v>17</v>
      </c>
      <c r="H23" s="68">
        <f t="shared" ca="1" si="9"/>
        <v>0</v>
      </c>
      <c r="I23" s="114">
        <f t="shared" ca="1" si="10"/>
        <v>0</v>
      </c>
      <c r="J23" s="114">
        <f t="shared" ca="1" si="11"/>
        <v>0</v>
      </c>
      <c r="K23" s="112" t="s">
        <v>17</v>
      </c>
      <c r="L23" s="112" t="s">
        <v>17</v>
      </c>
      <c r="M23" s="112" t="s">
        <v>17</v>
      </c>
      <c r="N23" s="112" t="s">
        <v>17</v>
      </c>
      <c r="O23" s="112" t="s">
        <v>17</v>
      </c>
      <c r="P23" s="78"/>
      <c r="Q23" s="85"/>
      <c r="R23" s="86"/>
      <c r="S23" s="86"/>
      <c r="T23" s="42"/>
      <c r="U23" s="42"/>
      <c r="V23" s="42"/>
      <c r="W23" s="42"/>
      <c r="X23" s="42"/>
      <c r="Y23" s="42"/>
      <c r="Z23" s="42"/>
      <c r="AA23" s="42"/>
      <c r="AB23" s="10"/>
      <c r="AC23" s="10"/>
      <c r="AD23" s="10"/>
      <c r="AM23" s="44"/>
      <c r="AN23" s="44"/>
      <c r="AO23" s="64"/>
      <c r="AP23" s="30"/>
      <c r="AQ23" s="30"/>
      <c r="AR23" s="30"/>
      <c r="AS23" s="30"/>
      <c r="AT23" s="30"/>
    </row>
    <row r="24" spans="1:58" s="208" customFormat="1" x14ac:dyDescent="0.2">
      <c r="A24" s="33"/>
      <c r="B24" s="612" t="s">
        <v>413</v>
      </c>
      <c r="C24" s="427"/>
      <c r="D24" s="68">
        <f t="shared" ca="1" si="6"/>
        <v>0</v>
      </c>
      <c r="E24" s="68">
        <f t="shared" ca="1" si="7"/>
        <v>0</v>
      </c>
      <c r="F24" s="68">
        <f t="shared" ca="1" si="8"/>
        <v>0</v>
      </c>
      <c r="G24" s="112" t="s">
        <v>17</v>
      </c>
      <c r="H24" s="68">
        <f t="shared" ca="1" si="9"/>
        <v>0</v>
      </c>
      <c r="I24" s="114">
        <f t="shared" ca="1" si="10"/>
        <v>0</v>
      </c>
      <c r="J24" s="114">
        <f t="shared" ca="1" si="11"/>
        <v>0</v>
      </c>
      <c r="K24" s="112" t="s">
        <v>17</v>
      </c>
      <c r="L24" s="112" t="s">
        <v>17</v>
      </c>
      <c r="M24" s="112" t="s">
        <v>17</v>
      </c>
      <c r="N24" s="112" t="s">
        <v>17</v>
      </c>
      <c r="O24" s="112" t="s">
        <v>17</v>
      </c>
      <c r="P24" s="78"/>
      <c r="Q24" s="85"/>
      <c r="R24" s="86"/>
      <c r="S24" s="86"/>
      <c r="T24" s="42"/>
      <c r="U24" s="42"/>
      <c r="V24" s="42"/>
      <c r="W24" s="42"/>
      <c r="X24" s="42"/>
      <c r="Y24" s="42"/>
      <c r="Z24" s="42"/>
      <c r="AA24" s="42"/>
      <c r="AB24" s="10"/>
      <c r="AC24" s="10"/>
      <c r="AD24" s="10"/>
      <c r="AM24" s="97"/>
      <c r="AN24" s="97"/>
      <c r="AO24" s="207"/>
      <c r="AP24" s="207"/>
      <c r="AQ24" s="207"/>
      <c r="AR24" s="207"/>
      <c r="AS24" s="207"/>
      <c r="AT24" s="207"/>
    </row>
    <row r="25" spans="1:58" s="208" customFormat="1" x14ac:dyDescent="0.2">
      <c r="A25" s="33"/>
      <c r="B25" s="612" t="s">
        <v>414</v>
      </c>
      <c r="C25" s="427"/>
      <c r="D25" s="68">
        <f t="shared" ca="1" si="6"/>
        <v>0</v>
      </c>
      <c r="E25" s="68">
        <f t="shared" ca="1" si="7"/>
        <v>0</v>
      </c>
      <c r="F25" s="68">
        <f t="shared" ca="1" si="8"/>
        <v>0</v>
      </c>
      <c r="G25" s="112" t="s">
        <v>17</v>
      </c>
      <c r="H25" s="68">
        <f t="shared" ca="1" si="9"/>
        <v>0</v>
      </c>
      <c r="I25" s="114">
        <f t="shared" ca="1" si="10"/>
        <v>0</v>
      </c>
      <c r="J25" s="114">
        <f t="shared" ca="1" si="11"/>
        <v>0</v>
      </c>
      <c r="K25" s="112" t="s">
        <v>17</v>
      </c>
      <c r="L25" s="112" t="s">
        <v>17</v>
      </c>
      <c r="M25" s="112" t="s">
        <v>17</v>
      </c>
      <c r="N25" s="112" t="s">
        <v>17</v>
      </c>
      <c r="O25" s="112" t="s">
        <v>17</v>
      </c>
      <c r="P25" s="78"/>
      <c r="Q25" s="33"/>
      <c r="T25" s="42"/>
      <c r="U25" s="42"/>
      <c r="V25" s="42"/>
      <c r="W25" s="42"/>
      <c r="X25" s="42"/>
      <c r="Y25" s="42"/>
      <c r="Z25" s="42"/>
      <c r="AA25" s="42"/>
      <c r="AB25" s="10"/>
      <c r="AC25" s="10"/>
      <c r="AD25" s="10"/>
      <c r="AM25" s="207"/>
      <c r="AN25" s="207"/>
      <c r="AO25" s="207"/>
      <c r="AP25" s="207"/>
      <c r="AQ25" s="207"/>
      <c r="AR25" s="207"/>
      <c r="AS25" s="207"/>
      <c r="AT25" s="207"/>
      <c r="AW25" s="33"/>
      <c r="BA25" s="30"/>
    </row>
    <row r="26" spans="1:58" s="208" customFormat="1" x14ac:dyDescent="0.2">
      <c r="A26" s="33"/>
      <c r="B26" s="612" t="s">
        <v>415</v>
      </c>
      <c r="C26" s="427"/>
      <c r="D26" s="68">
        <f t="shared" ca="1" si="6"/>
        <v>0</v>
      </c>
      <c r="E26" s="68">
        <f t="shared" ca="1" si="7"/>
        <v>0</v>
      </c>
      <c r="F26" s="68">
        <f t="shared" ca="1" si="8"/>
        <v>0</v>
      </c>
      <c r="G26" s="112" t="s">
        <v>17</v>
      </c>
      <c r="H26" s="68">
        <f t="shared" ca="1" si="9"/>
        <v>0</v>
      </c>
      <c r="I26" s="114">
        <f t="shared" ca="1" si="10"/>
        <v>0</v>
      </c>
      <c r="J26" s="114">
        <f t="shared" ca="1" si="11"/>
        <v>0</v>
      </c>
      <c r="K26" s="112" t="s">
        <v>17</v>
      </c>
      <c r="L26" s="112" t="s">
        <v>17</v>
      </c>
      <c r="M26" s="112" t="s">
        <v>17</v>
      </c>
      <c r="N26" s="112" t="s">
        <v>17</v>
      </c>
      <c r="O26" s="112" t="s">
        <v>17</v>
      </c>
      <c r="P26" s="78"/>
      <c r="Q26" s="88"/>
      <c r="R26" s="53"/>
      <c r="S26" s="53"/>
      <c r="T26" s="53"/>
      <c r="U26" s="53"/>
      <c r="V26" s="53"/>
      <c r="W26" s="53"/>
      <c r="X26" s="53"/>
      <c r="Y26" s="53"/>
      <c r="Z26" s="53"/>
      <c r="AA26" s="53"/>
      <c r="AB26" s="10"/>
      <c r="AC26" s="10"/>
      <c r="AD26" s="10"/>
      <c r="AM26" s="207"/>
      <c r="AN26" s="97"/>
      <c r="AO26" s="207"/>
      <c r="AP26" s="207"/>
      <c r="AQ26" s="207"/>
      <c r="AR26" s="207"/>
      <c r="AS26" s="207"/>
      <c r="AT26" s="207"/>
    </row>
    <row r="27" spans="1:58" s="208" customFormat="1" x14ac:dyDescent="0.2">
      <c r="A27" s="33"/>
      <c r="B27" s="612" t="s">
        <v>416</v>
      </c>
      <c r="C27" s="427"/>
      <c r="D27" s="68">
        <f ca="1">IFERROR(INDIRECT(B27 &amp; "!" &amp; "$D$68"),0)</f>
        <v>0</v>
      </c>
      <c r="E27" s="68">
        <f t="shared" ca="1" si="7"/>
        <v>0</v>
      </c>
      <c r="F27" s="68">
        <f t="shared" ca="1" si="8"/>
        <v>0</v>
      </c>
      <c r="G27" s="112" t="s">
        <v>17</v>
      </c>
      <c r="H27" s="68">
        <f t="shared" ca="1" si="9"/>
        <v>0</v>
      </c>
      <c r="I27" s="114">
        <f t="shared" ca="1" si="10"/>
        <v>0</v>
      </c>
      <c r="J27" s="114">
        <f t="shared" ca="1" si="11"/>
        <v>0</v>
      </c>
      <c r="K27" s="112" t="s">
        <v>17</v>
      </c>
      <c r="L27" s="112" t="s">
        <v>17</v>
      </c>
      <c r="M27" s="112" t="s">
        <v>17</v>
      </c>
      <c r="N27" s="112" t="s">
        <v>17</v>
      </c>
      <c r="O27" s="112" t="s">
        <v>17</v>
      </c>
      <c r="P27" s="76"/>
      <c r="Q27" s="25"/>
      <c r="R27" s="25"/>
      <c r="S27" s="25"/>
      <c r="T27" s="25"/>
      <c r="U27" s="25"/>
      <c r="V27" s="25"/>
      <c r="W27" s="25"/>
      <c r="X27" s="25"/>
      <c r="Y27" s="25"/>
      <c r="Z27" s="25"/>
      <c r="AA27" s="25"/>
      <c r="AB27" s="10"/>
      <c r="AC27" s="10"/>
      <c r="AD27" s="10"/>
      <c r="AM27" s="207"/>
      <c r="AN27" s="207"/>
      <c r="AO27" s="207"/>
      <c r="AP27" s="207"/>
      <c r="AQ27" s="207"/>
      <c r="AR27" s="207"/>
      <c r="AS27" s="207"/>
      <c r="AT27" s="207"/>
      <c r="AW27" s="33"/>
      <c r="BA27" s="30"/>
    </row>
    <row r="28" spans="1:58" s="208" customFormat="1" ht="13.5" thickBot="1" x14ac:dyDescent="0.25">
      <c r="B28" s="612" t="s">
        <v>417</v>
      </c>
      <c r="C28" s="427"/>
      <c r="D28" s="68">
        <f t="shared" ca="1" si="6"/>
        <v>0</v>
      </c>
      <c r="E28" s="68">
        <f t="shared" ca="1" si="7"/>
        <v>0</v>
      </c>
      <c r="F28" s="68">
        <f t="shared" ca="1" si="8"/>
        <v>0</v>
      </c>
      <c r="G28" s="163" t="s">
        <v>17</v>
      </c>
      <c r="H28" s="68">
        <f t="shared" ca="1" si="9"/>
        <v>0</v>
      </c>
      <c r="I28" s="114">
        <f t="shared" ca="1" si="10"/>
        <v>0</v>
      </c>
      <c r="J28" s="114">
        <f t="shared" ca="1" si="11"/>
        <v>0</v>
      </c>
      <c r="K28" s="163" t="s">
        <v>17</v>
      </c>
      <c r="L28" s="163" t="s">
        <v>17</v>
      </c>
      <c r="M28" s="163" t="s">
        <v>17</v>
      </c>
      <c r="N28" s="163" t="s">
        <v>17</v>
      </c>
      <c r="O28" s="163" t="s">
        <v>17</v>
      </c>
      <c r="P28" s="75"/>
      <c r="Q28" s="52"/>
      <c r="R28" s="52"/>
      <c r="S28" s="52"/>
      <c r="T28" s="52"/>
      <c r="U28" s="52"/>
      <c r="V28" s="52"/>
      <c r="W28" s="52"/>
      <c r="X28" s="52"/>
      <c r="Y28" s="52"/>
      <c r="Z28" s="84"/>
      <c r="AA28" s="84"/>
      <c r="AB28" s="10"/>
      <c r="AC28" s="10"/>
      <c r="AD28" s="10"/>
    </row>
    <row r="29" spans="1:58" s="208" customFormat="1" ht="13.5" thickBot="1" x14ac:dyDescent="0.25">
      <c r="B29" s="641" t="s">
        <v>362</v>
      </c>
      <c r="C29" s="642"/>
      <c r="D29" s="160">
        <f ca="1">SUM(D21:D28)</f>
        <v>0.21664834022453872</v>
      </c>
      <c r="E29" s="160">
        <f ca="1">SUM(E21:E28)</f>
        <v>0.15677937373225564</v>
      </c>
      <c r="F29" s="160">
        <f ca="1">SUM(F21:F28)</f>
        <v>5.9868966492283071E-2</v>
      </c>
      <c r="G29" s="164"/>
      <c r="H29" s="160"/>
      <c r="I29" s="165"/>
      <c r="J29" s="166"/>
      <c r="K29" s="164"/>
      <c r="L29" s="164"/>
      <c r="M29" s="164"/>
      <c r="N29" s="164"/>
      <c r="O29" s="167"/>
      <c r="P29" s="75"/>
      <c r="Q29" s="52"/>
      <c r="R29" s="52"/>
      <c r="S29" s="52"/>
      <c r="T29" s="52"/>
      <c r="U29" s="52"/>
      <c r="V29" s="52"/>
      <c r="W29" s="52"/>
      <c r="X29" s="52"/>
      <c r="Y29" s="52"/>
      <c r="Z29" s="84"/>
      <c r="AA29" s="84"/>
      <c r="AB29" s="10"/>
      <c r="AC29" s="10"/>
      <c r="AD29" s="10"/>
    </row>
    <row r="30" spans="1:58" x14ac:dyDescent="0.2">
      <c r="B30" s="625" t="s">
        <v>246</v>
      </c>
      <c r="C30" s="625"/>
      <c r="D30" s="625"/>
      <c r="E30" s="625"/>
      <c r="F30" s="625"/>
      <c r="G30" s="625"/>
      <c r="H30" s="625"/>
      <c r="I30" s="625"/>
      <c r="J30" s="625"/>
      <c r="K30" s="625"/>
      <c r="L30" s="625"/>
      <c r="M30" s="625"/>
      <c r="N30" s="625"/>
      <c r="O30" s="625"/>
      <c r="P30" s="74"/>
      <c r="Q30" s="52"/>
      <c r="R30" s="52"/>
      <c r="S30" s="52"/>
      <c r="T30" s="52"/>
      <c r="U30" s="52"/>
      <c r="V30" s="52"/>
      <c r="W30" s="52"/>
      <c r="X30" s="52"/>
      <c r="Y30" s="52"/>
      <c r="Z30" s="84"/>
      <c r="AA30" s="84"/>
      <c r="AB30" s="25"/>
      <c r="AC30" s="25"/>
      <c r="AD30" s="25"/>
      <c r="AE30" s="25"/>
      <c r="AF30" s="25"/>
      <c r="AG30" s="25"/>
      <c r="AH30" s="25"/>
      <c r="AI30" s="25"/>
      <c r="AJ30" s="25"/>
      <c r="AM30" s="54"/>
      <c r="AN30" s="54"/>
      <c r="AO30" s="54"/>
      <c r="AP30" s="54"/>
      <c r="AQ30" s="54"/>
      <c r="AR30" s="25"/>
      <c r="AS30" s="25"/>
      <c r="AT30" s="25"/>
    </row>
    <row r="31" spans="1:58" x14ac:dyDescent="0.2">
      <c r="A31" s="47"/>
      <c r="B31" s="612" t="s">
        <v>386</v>
      </c>
      <c r="C31" s="427"/>
      <c r="D31" s="68">
        <f ca="1">IFERROR(INDIRECT(B31 &amp; "!" &amp; "$G$65"),0)</f>
        <v>6.4414589089057658E-2</v>
      </c>
      <c r="E31" s="68">
        <f ca="1">IFERROR(INDIRECT(B31 &amp; "!" &amp; "$G$66"),0)</f>
        <v>3.5909927007548303E-2</v>
      </c>
      <c r="F31" s="115">
        <f ca="1">IFERROR(INDIRECT(B31 &amp; "!" &amp; "$G$68"),0)</f>
        <v>2.8504662081509355E-2</v>
      </c>
      <c r="G31" s="112" t="s">
        <v>17</v>
      </c>
      <c r="H31" s="115">
        <f ca="1">IFERROR(INDIRECT(B31 &amp; "!" &amp; "$H$34"),0)</f>
        <v>0.46</v>
      </c>
      <c r="I31" s="68">
        <f ca="1">+H31*D31*D31</f>
        <v>1.9086500722555872E-3</v>
      </c>
      <c r="J31" s="68">
        <f ca="1">SQRT(H31*D31)</f>
        <v>0.17213573417790545</v>
      </c>
      <c r="K31" s="112" t="s">
        <v>17</v>
      </c>
      <c r="L31" s="112" t="s">
        <v>17</v>
      </c>
      <c r="M31" s="112" t="s">
        <v>17</v>
      </c>
      <c r="N31" s="112" t="s">
        <v>17</v>
      </c>
      <c r="O31" s="112" t="s">
        <v>17</v>
      </c>
      <c r="P31" s="56"/>
      <c r="Q31" s="84"/>
      <c r="R31" s="84"/>
      <c r="S31" s="84"/>
      <c r="T31" s="54"/>
      <c r="U31" s="25"/>
      <c r="V31" s="54"/>
      <c r="X31" s="54"/>
      <c r="Y31" s="25"/>
      <c r="Z31" s="54"/>
      <c r="AB31" s="74"/>
      <c r="AC31" s="74"/>
      <c r="AD31" s="74"/>
      <c r="AE31" s="74"/>
      <c r="AF31" s="74"/>
      <c r="AG31" s="74"/>
      <c r="AH31" s="74"/>
      <c r="AI31" s="74"/>
      <c r="AJ31" s="74"/>
      <c r="AM31" s="54"/>
      <c r="AN31" s="54"/>
      <c r="AO31" s="54"/>
      <c r="AP31" s="25"/>
      <c r="AQ31" s="54"/>
      <c r="AR31" s="25"/>
      <c r="AS31" s="25"/>
      <c r="AT31" s="25"/>
    </row>
    <row r="32" spans="1:58" x14ac:dyDescent="0.2">
      <c r="A32" s="113"/>
      <c r="B32" s="601" t="s">
        <v>397</v>
      </c>
      <c r="C32" s="427"/>
      <c r="D32" s="68">
        <f t="shared" ref="D32:D38" ca="1" si="12">IFERROR(INDIRECT(B32 &amp; "!" &amp; "$G$65"),0)</f>
        <v>0</v>
      </c>
      <c r="E32" s="68">
        <f t="shared" ref="E32:E38" ca="1" si="13">IFERROR(INDIRECT(B32 &amp; "!" &amp; "$G$66"),0)</f>
        <v>0</v>
      </c>
      <c r="F32" s="115">
        <f t="shared" ref="F32:F38" ca="1" si="14">IFERROR(INDIRECT(B32 &amp; "!" &amp; "$G$68"),0)</f>
        <v>0</v>
      </c>
      <c r="G32" s="112" t="s">
        <v>17</v>
      </c>
      <c r="H32" s="115">
        <f t="shared" ref="H32:H38" ca="1" si="15">IFERROR(INDIRECT(B32 &amp; "!" &amp; "$H$34"),0)</f>
        <v>0</v>
      </c>
      <c r="I32" s="68">
        <f t="shared" ref="I32:I38" ca="1" si="16">+H32*D32*D32</f>
        <v>0</v>
      </c>
      <c r="J32" s="68">
        <f t="shared" ref="J32:J38" ca="1" si="17">SQRT(H32*D32)</f>
        <v>0</v>
      </c>
      <c r="K32" s="112" t="s">
        <v>17</v>
      </c>
      <c r="L32" s="112" t="s">
        <v>17</v>
      </c>
      <c r="M32" s="112" t="s">
        <v>17</v>
      </c>
      <c r="N32" s="112" t="s">
        <v>17</v>
      </c>
      <c r="O32" s="112" t="s">
        <v>17</v>
      </c>
      <c r="Q32" s="48"/>
      <c r="R32" s="25"/>
      <c r="S32" s="25"/>
      <c r="T32" s="25"/>
      <c r="U32" s="25"/>
      <c r="X32" s="25"/>
      <c r="Y32" s="25"/>
      <c r="AB32" s="52"/>
      <c r="AC32" s="52"/>
      <c r="AD32" s="52"/>
      <c r="AE32" s="52"/>
      <c r="AF32" s="52"/>
      <c r="AG32" s="52"/>
      <c r="AH32" s="52"/>
      <c r="AI32" s="52"/>
      <c r="AJ32" s="52"/>
      <c r="AM32" s="54"/>
      <c r="AN32" s="54"/>
      <c r="AO32" s="25"/>
      <c r="AP32" s="25"/>
      <c r="AQ32" s="25"/>
      <c r="AR32" s="25"/>
      <c r="AS32" s="25"/>
      <c r="AT32" s="25"/>
    </row>
    <row r="33" spans="1:46" x14ac:dyDescent="0.2">
      <c r="A33" s="84"/>
      <c r="B33" s="612" t="s">
        <v>398</v>
      </c>
      <c r="C33" s="427"/>
      <c r="D33" s="68">
        <f t="shared" ca="1" si="12"/>
        <v>0</v>
      </c>
      <c r="E33" s="68">
        <f t="shared" ca="1" si="13"/>
        <v>0</v>
      </c>
      <c r="F33" s="115">
        <f t="shared" ca="1" si="14"/>
        <v>0</v>
      </c>
      <c r="G33" s="112" t="s">
        <v>17</v>
      </c>
      <c r="H33" s="115">
        <f t="shared" ca="1" si="15"/>
        <v>0</v>
      </c>
      <c r="I33" s="68">
        <f t="shared" ca="1" si="16"/>
        <v>0</v>
      </c>
      <c r="J33" s="68">
        <f t="shared" ca="1" si="17"/>
        <v>0</v>
      </c>
      <c r="K33" s="112" t="s">
        <v>17</v>
      </c>
      <c r="L33" s="112" t="s">
        <v>17</v>
      </c>
      <c r="M33" s="112" t="s">
        <v>17</v>
      </c>
      <c r="N33" s="112" t="s">
        <v>17</v>
      </c>
      <c r="O33" s="112" t="s">
        <v>17</v>
      </c>
      <c r="Q33" s="84"/>
      <c r="AB33" s="52"/>
      <c r="AC33" s="52"/>
      <c r="AD33" s="52"/>
      <c r="AE33" s="52"/>
      <c r="AF33" s="52"/>
      <c r="AG33" s="52"/>
      <c r="AH33" s="52"/>
      <c r="AI33" s="52"/>
      <c r="AJ33" s="52"/>
      <c r="AM33" s="25"/>
      <c r="AN33" s="25"/>
      <c r="AO33" s="25"/>
      <c r="AP33" s="25"/>
      <c r="AQ33" s="105"/>
      <c r="AR33" s="105"/>
      <c r="AS33" s="105"/>
      <c r="AT33" s="105"/>
    </row>
    <row r="34" spans="1:46" x14ac:dyDescent="0.2">
      <c r="A34" s="84"/>
      <c r="B34" s="601" t="s">
        <v>399</v>
      </c>
      <c r="C34" s="427"/>
      <c r="D34" s="68">
        <f t="shared" ca="1" si="12"/>
        <v>0</v>
      </c>
      <c r="E34" s="68">
        <f t="shared" ca="1" si="13"/>
        <v>0</v>
      </c>
      <c r="F34" s="115">
        <f t="shared" ca="1" si="14"/>
        <v>0</v>
      </c>
      <c r="G34" s="112" t="s">
        <v>17</v>
      </c>
      <c r="H34" s="115">
        <f t="shared" ca="1" si="15"/>
        <v>0</v>
      </c>
      <c r="I34" s="68">
        <f t="shared" ca="1" si="16"/>
        <v>0</v>
      </c>
      <c r="J34" s="68">
        <f t="shared" ca="1" si="17"/>
        <v>0</v>
      </c>
      <c r="K34" s="112" t="s">
        <v>17</v>
      </c>
      <c r="L34" s="112" t="s">
        <v>17</v>
      </c>
      <c r="M34" s="112" t="s">
        <v>17</v>
      </c>
      <c r="N34" s="112" t="s">
        <v>17</v>
      </c>
      <c r="O34" s="112" t="s">
        <v>17</v>
      </c>
      <c r="T34" s="49"/>
      <c r="U34" s="49"/>
      <c r="V34" s="49"/>
      <c r="W34" s="45"/>
      <c r="X34" s="49"/>
      <c r="Y34" s="49"/>
      <c r="Z34" s="49"/>
      <c r="AA34" s="45"/>
      <c r="AB34" s="79"/>
      <c r="AC34" s="79"/>
      <c r="AD34" s="79"/>
      <c r="AE34" s="79"/>
      <c r="AF34" s="79"/>
      <c r="AG34" s="79"/>
      <c r="AH34" s="79"/>
      <c r="AI34" s="79"/>
      <c r="AJ34" s="79"/>
      <c r="AM34" s="25"/>
      <c r="AN34" s="25"/>
      <c r="AO34" s="25"/>
      <c r="AP34" s="25"/>
      <c r="AQ34" s="106"/>
      <c r="AR34" s="106"/>
      <c r="AS34" s="106"/>
      <c r="AT34" s="106"/>
    </row>
    <row r="35" spans="1:46" x14ac:dyDescent="0.2">
      <c r="A35" s="72"/>
      <c r="B35" s="612" t="s">
        <v>400</v>
      </c>
      <c r="C35" s="427"/>
      <c r="D35" s="68">
        <f t="shared" ca="1" si="12"/>
        <v>0</v>
      </c>
      <c r="E35" s="68">
        <f t="shared" ca="1" si="13"/>
        <v>0</v>
      </c>
      <c r="F35" s="115">
        <f t="shared" ca="1" si="14"/>
        <v>0</v>
      </c>
      <c r="G35" s="112" t="s">
        <v>17</v>
      </c>
      <c r="H35" s="115">
        <f t="shared" ca="1" si="15"/>
        <v>0</v>
      </c>
      <c r="I35" s="68">
        <f t="shared" ca="1" si="16"/>
        <v>0</v>
      </c>
      <c r="J35" s="68">
        <f t="shared" ca="1" si="17"/>
        <v>0</v>
      </c>
      <c r="K35" s="112" t="s">
        <v>17</v>
      </c>
      <c r="L35" s="112" t="s">
        <v>17</v>
      </c>
      <c r="M35" s="112" t="s">
        <v>17</v>
      </c>
      <c r="N35" s="112" t="s">
        <v>17</v>
      </c>
      <c r="O35" s="112" t="s">
        <v>17</v>
      </c>
      <c r="P35" s="57"/>
      <c r="T35" s="45"/>
      <c r="U35" s="45"/>
      <c r="V35" s="45"/>
      <c r="W35" s="45"/>
      <c r="X35" s="45"/>
      <c r="Y35" s="45"/>
      <c r="Z35" s="45"/>
      <c r="AA35" s="45"/>
      <c r="AB35" s="80"/>
      <c r="AC35" s="80"/>
      <c r="AD35" s="80"/>
      <c r="AE35" s="80"/>
      <c r="AF35" s="80"/>
      <c r="AG35" s="80"/>
      <c r="AH35" s="80"/>
      <c r="AI35" s="80"/>
      <c r="AJ35" s="80"/>
      <c r="AM35" s="48"/>
      <c r="AN35" s="25"/>
      <c r="AO35" s="64"/>
      <c r="AP35" s="25"/>
      <c r="AQ35" s="103"/>
      <c r="AR35" s="103"/>
      <c r="AS35" s="107"/>
      <c r="AT35" s="107"/>
    </row>
    <row r="36" spans="1:46" x14ac:dyDescent="0.2">
      <c r="A36" s="72"/>
      <c r="B36" s="601" t="s">
        <v>401</v>
      </c>
      <c r="C36" s="427"/>
      <c r="D36" s="68">
        <f t="shared" ca="1" si="12"/>
        <v>0</v>
      </c>
      <c r="E36" s="68">
        <f t="shared" ca="1" si="13"/>
        <v>0</v>
      </c>
      <c r="F36" s="115">
        <f t="shared" ca="1" si="14"/>
        <v>0</v>
      </c>
      <c r="G36" s="112" t="s">
        <v>17</v>
      </c>
      <c r="H36" s="115">
        <f t="shared" ca="1" si="15"/>
        <v>0</v>
      </c>
      <c r="I36" s="68">
        <f t="shared" ca="1" si="16"/>
        <v>0</v>
      </c>
      <c r="J36" s="68">
        <f t="shared" ca="1" si="17"/>
        <v>0</v>
      </c>
      <c r="K36" s="112" t="s">
        <v>17</v>
      </c>
      <c r="L36" s="112" t="s">
        <v>17</v>
      </c>
      <c r="M36" s="112" t="s">
        <v>17</v>
      </c>
      <c r="N36" s="112" t="s">
        <v>17</v>
      </c>
      <c r="O36" s="112" t="s">
        <v>17</v>
      </c>
      <c r="P36" s="54"/>
      <c r="Q36" s="85"/>
      <c r="R36" s="25"/>
      <c r="S36" s="25"/>
      <c r="T36" s="87"/>
      <c r="U36" s="87"/>
      <c r="V36" s="87"/>
      <c r="W36" s="25"/>
      <c r="X36" s="42"/>
      <c r="Y36" s="42"/>
      <c r="Z36" s="42"/>
      <c r="AA36" s="42"/>
      <c r="AB36" s="54"/>
      <c r="AC36" s="25"/>
      <c r="AD36" s="25"/>
      <c r="AE36" s="25"/>
      <c r="AF36" s="25"/>
      <c r="AG36" s="25"/>
      <c r="AH36" s="25"/>
      <c r="AI36" s="25"/>
      <c r="AJ36" s="25"/>
      <c r="AM36" s="25"/>
      <c r="AN36" s="25"/>
      <c r="AO36" s="25"/>
      <c r="AP36" s="25"/>
      <c r="AQ36" s="103"/>
      <c r="AR36" s="103"/>
      <c r="AS36" s="103"/>
      <c r="AT36" s="103"/>
    </row>
    <row r="37" spans="1:46" x14ac:dyDescent="0.2">
      <c r="A37" s="30"/>
      <c r="B37" s="612" t="s">
        <v>402</v>
      </c>
      <c r="C37" s="427"/>
      <c r="D37" s="68">
        <f t="shared" ca="1" si="12"/>
        <v>0</v>
      </c>
      <c r="E37" s="68">
        <f t="shared" ca="1" si="13"/>
        <v>0</v>
      </c>
      <c r="F37" s="115">
        <f t="shared" ca="1" si="14"/>
        <v>0</v>
      </c>
      <c r="G37" s="112" t="s">
        <v>17</v>
      </c>
      <c r="H37" s="115">
        <f t="shared" ca="1" si="15"/>
        <v>0</v>
      </c>
      <c r="I37" s="68">
        <f t="shared" ca="1" si="16"/>
        <v>0</v>
      </c>
      <c r="J37" s="68">
        <f t="shared" ca="1" si="17"/>
        <v>0</v>
      </c>
      <c r="K37" s="112" t="s">
        <v>17</v>
      </c>
      <c r="L37" s="112" t="s">
        <v>17</v>
      </c>
      <c r="M37" s="112" t="s">
        <v>17</v>
      </c>
      <c r="N37" s="112" t="s">
        <v>17</v>
      </c>
      <c r="O37" s="112" t="s">
        <v>17</v>
      </c>
      <c r="P37" s="54"/>
      <c r="Q37" s="85"/>
      <c r="R37" s="25"/>
      <c r="S37" s="25"/>
      <c r="T37" s="87"/>
      <c r="U37" s="87"/>
      <c r="V37" s="87"/>
      <c r="W37" s="25"/>
      <c r="X37" s="42"/>
      <c r="Y37" s="42"/>
      <c r="Z37" s="42"/>
      <c r="AA37" s="42"/>
      <c r="AB37" s="54"/>
      <c r="AC37" s="25"/>
      <c r="AD37" s="25"/>
      <c r="AE37" s="25"/>
      <c r="AF37" s="25"/>
      <c r="AG37" s="25"/>
      <c r="AH37" s="25"/>
      <c r="AI37" s="25"/>
      <c r="AJ37" s="25"/>
      <c r="AM37" s="25"/>
      <c r="AN37" s="25"/>
      <c r="AO37" s="25"/>
      <c r="AP37" s="25"/>
      <c r="AQ37" s="103"/>
      <c r="AR37" s="103"/>
      <c r="AS37" s="103"/>
      <c r="AT37" s="103"/>
    </row>
    <row r="38" spans="1:46" ht="13.5" thickBot="1" x14ac:dyDescent="0.25">
      <c r="A38" s="33"/>
      <c r="B38" s="601" t="s">
        <v>403</v>
      </c>
      <c r="C38" s="427"/>
      <c r="D38" s="68">
        <f t="shared" ca="1" si="12"/>
        <v>0</v>
      </c>
      <c r="E38" s="68">
        <f t="shared" ca="1" si="13"/>
        <v>0</v>
      </c>
      <c r="F38" s="115">
        <f t="shared" ca="1" si="14"/>
        <v>0</v>
      </c>
      <c r="G38" s="163" t="s">
        <v>17</v>
      </c>
      <c r="H38" s="115">
        <f t="shared" ca="1" si="15"/>
        <v>0</v>
      </c>
      <c r="I38" s="68">
        <f t="shared" ca="1" si="16"/>
        <v>0</v>
      </c>
      <c r="J38" s="68">
        <f t="shared" ca="1" si="17"/>
        <v>0</v>
      </c>
      <c r="K38" s="163" t="s">
        <v>17</v>
      </c>
      <c r="L38" s="163" t="s">
        <v>17</v>
      </c>
      <c r="M38" s="163" t="s">
        <v>17</v>
      </c>
      <c r="N38" s="163" t="s">
        <v>17</v>
      </c>
      <c r="O38" s="163" t="s">
        <v>17</v>
      </c>
      <c r="P38" s="75"/>
      <c r="Q38" s="85"/>
      <c r="R38" s="86"/>
      <c r="S38" s="86"/>
      <c r="V38" s="42"/>
      <c r="W38" s="42"/>
      <c r="X38" s="42"/>
      <c r="Y38" s="42"/>
      <c r="Z38" s="42"/>
      <c r="AA38" s="42"/>
      <c r="AB38" s="10"/>
      <c r="AC38" s="10"/>
      <c r="AD38" s="10"/>
      <c r="AE38" s="10"/>
      <c r="AF38" s="10"/>
      <c r="AG38" s="10"/>
      <c r="AH38" s="10"/>
      <c r="AI38" s="10"/>
      <c r="AJ38" s="10"/>
      <c r="AM38" s="65"/>
      <c r="AN38" s="44"/>
      <c r="AO38" s="64"/>
      <c r="AP38" s="25"/>
      <c r="AQ38" s="103"/>
      <c r="AR38" s="103"/>
      <c r="AS38" s="107"/>
      <c r="AT38" s="107"/>
    </row>
    <row r="39" spans="1:46" ht="13.5" thickBot="1" x14ac:dyDescent="0.25">
      <c r="A39" s="33"/>
      <c r="B39" s="608" t="s">
        <v>363</v>
      </c>
      <c r="C39" s="609"/>
      <c r="D39" s="157">
        <f ca="1">SUM(D31:D38)</f>
        <v>6.4414589089057658E-2</v>
      </c>
      <c r="E39" s="157">
        <f ca="1">SUM(E31:E38)</f>
        <v>3.5909927007548303E-2</v>
      </c>
      <c r="F39" s="157">
        <f ca="1">SUM(F31:F38)</f>
        <v>2.8504662081509355E-2</v>
      </c>
      <c r="G39" s="168"/>
      <c r="H39" s="169"/>
      <c r="I39" s="157"/>
      <c r="J39" s="157"/>
      <c r="K39" s="168"/>
      <c r="L39" s="168"/>
      <c r="M39" s="168"/>
      <c r="N39" s="168"/>
      <c r="O39" s="170"/>
      <c r="P39" s="75"/>
      <c r="Q39" s="85"/>
      <c r="R39" s="86"/>
      <c r="S39" s="86"/>
      <c r="V39" s="42"/>
      <c r="W39" s="42"/>
      <c r="X39" s="42"/>
      <c r="Y39" s="42"/>
      <c r="Z39" s="42"/>
      <c r="AA39" s="42"/>
      <c r="AB39" s="10"/>
      <c r="AC39" s="10"/>
      <c r="AD39" s="10"/>
      <c r="AE39" s="10"/>
      <c r="AF39" s="10"/>
      <c r="AG39" s="10"/>
      <c r="AH39" s="10"/>
      <c r="AI39" s="10"/>
      <c r="AJ39" s="10"/>
      <c r="AM39" s="65"/>
      <c r="AN39" s="44"/>
      <c r="AO39" s="64"/>
      <c r="AP39" s="25"/>
      <c r="AQ39" s="103"/>
      <c r="AR39" s="103"/>
      <c r="AS39" s="107"/>
      <c r="AT39" s="107"/>
    </row>
    <row r="40" spans="1:46" ht="14.25" thickTop="1" thickBot="1" x14ac:dyDescent="0.25">
      <c r="A40" s="43"/>
      <c r="B40" s="613" t="s">
        <v>242</v>
      </c>
      <c r="C40" s="614"/>
      <c r="D40" s="117">
        <f ca="1">SUM(D11:D18)+SUM(D21:D28)+SUM(D31:D38)</f>
        <v>0.44990952192168371</v>
      </c>
      <c r="E40" s="117">
        <f ca="1">SUM(E11:E18)+SUM(E21:E28)+SUM(E31:E38)</f>
        <v>0.30136680674596766</v>
      </c>
      <c r="F40" s="117">
        <f ca="1">SUM(F11:F18)+SUM(F21:F28)+SUM(F31:F38)</f>
        <v>0.14854271517571599</v>
      </c>
      <c r="G40" s="136">
        <v>0</v>
      </c>
      <c r="H40" s="119" t="s">
        <v>17</v>
      </c>
      <c r="I40" s="117">
        <f ca="1">SUM(I11:I18)+SUM(I21:I28)+SUM(I31:I38)</f>
        <v>1.67573090587643E-2</v>
      </c>
      <c r="J40" s="117">
        <f ca="1">SUM(J11:J18)+SUM(J21:J28)+SUM(J31:J38)</f>
        <v>0.56298275502938377</v>
      </c>
      <c r="K40" s="110">
        <f ca="1">1/(1+I40/D40)</f>
        <v>0.96409149323178189</v>
      </c>
      <c r="L40" s="110">
        <f ca="1">K40*D40+((1-K40)*G40)</f>
        <v>0.43375394280867313</v>
      </c>
      <c r="M40" s="110">
        <f ca="1">1/(1+(J40/D40))</f>
        <v>0.44418299177476972</v>
      </c>
      <c r="N40" s="110">
        <f ca="1">+M40*D40+(1-M40)*G40</f>
        <v>0.19984215747512982</v>
      </c>
      <c r="O40" s="111">
        <f ca="1">(L40+N40)/2</f>
        <v>0.31679805014190149</v>
      </c>
      <c r="P40" s="75"/>
      <c r="S40" s="10"/>
      <c r="T40" s="10"/>
      <c r="U40" s="10"/>
      <c r="V40" s="10"/>
      <c r="W40" s="10"/>
      <c r="X40" s="10"/>
      <c r="Y40" s="10"/>
      <c r="Z40" s="10"/>
      <c r="AA40" s="10"/>
      <c r="AB40" s="10"/>
      <c r="AC40" s="10"/>
      <c r="AD40" s="10"/>
      <c r="AE40" s="10"/>
      <c r="AF40" s="10"/>
      <c r="AG40" s="10"/>
      <c r="AH40" s="10"/>
      <c r="AI40" s="10"/>
      <c r="AJ40" s="10"/>
      <c r="AM40" s="44"/>
      <c r="AN40" s="44"/>
      <c r="AO40" s="25"/>
      <c r="AP40" s="25"/>
      <c r="AQ40" s="103"/>
      <c r="AR40" s="103"/>
      <c r="AS40" s="103"/>
      <c r="AT40" s="103"/>
    </row>
    <row r="41" spans="1:46" x14ac:dyDescent="0.2">
      <c r="A41" s="40"/>
      <c r="B41" s="53"/>
      <c r="C41" s="47"/>
      <c r="D41" s="47"/>
      <c r="F41" s="40"/>
      <c r="H41" s="40"/>
      <c r="J41" s="40"/>
      <c r="K41" s="40"/>
      <c r="L41" s="40"/>
      <c r="P41" s="75"/>
      <c r="S41" s="10"/>
      <c r="T41" s="10"/>
      <c r="U41" s="10"/>
      <c r="V41" s="10"/>
      <c r="W41" s="10"/>
      <c r="X41" s="10"/>
      <c r="Y41" s="10"/>
      <c r="Z41" s="10"/>
      <c r="AA41" s="10"/>
      <c r="AB41" s="10"/>
      <c r="AC41" s="10"/>
      <c r="AD41" s="10"/>
      <c r="AE41" s="10"/>
      <c r="AF41" s="10"/>
      <c r="AG41" s="10"/>
      <c r="AH41" s="10"/>
      <c r="AI41" s="10"/>
      <c r="AJ41" s="10"/>
      <c r="AM41" s="44"/>
      <c r="AN41" s="44"/>
      <c r="AO41" s="64"/>
      <c r="AP41" s="30"/>
      <c r="AQ41" s="30"/>
      <c r="AR41" s="30"/>
      <c r="AS41" s="30"/>
      <c r="AT41" s="30"/>
    </row>
    <row r="42" spans="1:46" x14ac:dyDescent="0.2">
      <c r="A42" s="52"/>
      <c r="B42" s="53"/>
      <c r="C42" s="89"/>
      <c r="D42" s="52"/>
      <c r="E42" s="52"/>
      <c r="F42" s="52"/>
      <c r="G42" s="25"/>
      <c r="H42" s="52"/>
      <c r="J42" s="52"/>
      <c r="K42" s="52"/>
      <c r="L42" s="52"/>
      <c r="P42" s="75"/>
      <c r="S42" s="10"/>
      <c r="T42" s="10"/>
      <c r="U42" s="10"/>
      <c r="V42" s="10"/>
      <c r="W42" s="10"/>
      <c r="X42" s="10"/>
      <c r="Y42" s="10"/>
      <c r="Z42" s="10"/>
      <c r="AA42" s="10"/>
      <c r="AB42" s="10"/>
      <c r="AC42" s="10"/>
      <c r="AD42" s="10"/>
      <c r="AE42" s="10"/>
      <c r="AF42" s="10"/>
      <c r="AG42" s="10"/>
      <c r="AH42" s="10"/>
      <c r="AI42" s="10"/>
      <c r="AJ42" s="10"/>
      <c r="AM42" s="97"/>
      <c r="AN42" s="97"/>
      <c r="AO42" s="90"/>
      <c r="AP42" s="90"/>
      <c r="AQ42" s="90"/>
      <c r="AR42" s="90"/>
      <c r="AS42" s="90"/>
      <c r="AT42" s="90"/>
    </row>
    <row r="43" spans="1:46" x14ac:dyDescent="0.2">
      <c r="B43" s="53"/>
      <c r="C43" s="48"/>
      <c r="D43" s="25"/>
      <c r="E43" s="25"/>
      <c r="J43" s="64"/>
      <c r="K43" s="25"/>
      <c r="P43" s="75"/>
      <c r="S43" s="10"/>
      <c r="T43" s="10"/>
      <c r="U43" s="10"/>
      <c r="V43" s="10"/>
      <c r="W43" s="10"/>
      <c r="X43" s="10"/>
      <c r="Y43" s="10"/>
      <c r="Z43" s="10"/>
      <c r="AA43" s="10"/>
      <c r="AB43" s="10"/>
      <c r="AC43" s="10"/>
      <c r="AD43" s="10"/>
      <c r="AE43" s="10"/>
      <c r="AF43" s="10"/>
      <c r="AG43" s="10"/>
      <c r="AH43" s="10"/>
      <c r="AI43" s="10"/>
      <c r="AJ43" s="10"/>
      <c r="AM43" s="38"/>
      <c r="AN43" s="90"/>
      <c r="AO43" s="90"/>
      <c r="AP43" s="90"/>
      <c r="AQ43" s="90"/>
      <c r="AR43" s="90"/>
      <c r="AS43" s="90"/>
      <c r="AT43" s="90"/>
    </row>
    <row r="44" spans="1:46" x14ac:dyDescent="0.2">
      <c r="B44" s="53"/>
      <c r="C44" s="64"/>
      <c r="D44" s="64"/>
      <c r="E44" s="64"/>
      <c r="F44" s="65"/>
      <c r="G44" s="44"/>
      <c r="H44" s="65"/>
      <c r="J44" s="25"/>
      <c r="K44" s="25"/>
      <c r="L44" s="64"/>
      <c r="M44" s="25"/>
      <c r="P44" s="75"/>
      <c r="S44" s="10"/>
      <c r="T44" s="10"/>
      <c r="U44" s="10"/>
      <c r="V44" s="10"/>
      <c r="W44" s="10"/>
      <c r="X44" s="10"/>
      <c r="Y44" s="10"/>
      <c r="Z44" s="10"/>
      <c r="AA44" s="10"/>
      <c r="AB44" s="10"/>
      <c r="AC44" s="10"/>
      <c r="AD44" s="10"/>
      <c r="AE44" s="10"/>
      <c r="AF44" s="10"/>
      <c r="AG44" s="10"/>
      <c r="AH44" s="10"/>
      <c r="AI44" s="10"/>
      <c r="AJ44" s="10"/>
      <c r="AM44" s="108"/>
      <c r="AN44" s="97"/>
      <c r="AO44" s="90"/>
      <c r="AP44" s="90"/>
      <c r="AQ44" s="90"/>
      <c r="AR44" s="90"/>
      <c r="AS44" s="90"/>
      <c r="AT44" s="90"/>
    </row>
    <row r="45" spans="1:46" ht="13.5" thickBot="1" x14ac:dyDescent="0.25">
      <c r="B45" s="53"/>
      <c r="C45" s="48"/>
      <c r="D45" s="25"/>
      <c r="E45" s="25"/>
      <c r="K45" s="30"/>
      <c r="L45" s="42"/>
      <c r="M45" s="25"/>
      <c r="P45" s="75"/>
      <c r="S45" s="10"/>
      <c r="T45" s="10"/>
      <c r="U45" s="10"/>
      <c r="V45" s="10"/>
      <c r="W45" s="10"/>
      <c r="X45" s="10"/>
      <c r="Y45" s="10"/>
      <c r="Z45" s="10"/>
      <c r="AA45" s="10"/>
      <c r="AB45" s="10"/>
      <c r="AC45" s="10"/>
      <c r="AD45" s="10"/>
      <c r="AE45" s="10"/>
      <c r="AF45" s="10"/>
      <c r="AG45" s="10"/>
      <c r="AH45" s="10"/>
      <c r="AI45" s="10"/>
      <c r="AJ45" s="10"/>
      <c r="AM45" s="90"/>
      <c r="AN45" s="90"/>
      <c r="AO45" s="90"/>
      <c r="AP45" s="90"/>
      <c r="AQ45" s="90"/>
      <c r="AR45" s="90"/>
      <c r="AS45" s="90"/>
      <c r="AT45" s="90"/>
    </row>
    <row r="46" spans="1:46" ht="13.5" thickTop="1" x14ac:dyDescent="0.2">
      <c r="B46" s="615" t="s">
        <v>279</v>
      </c>
      <c r="C46" s="616"/>
      <c r="D46" s="616"/>
      <c r="E46" s="616"/>
      <c r="F46" s="616"/>
      <c r="G46" s="616"/>
      <c r="H46" s="616"/>
      <c r="I46" s="616"/>
      <c r="J46" s="616"/>
      <c r="K46" s="30"/>
      <c r="L46" s="42"/>
      <c r="M46" s="25"/>
      <c r="P46" s="74"/>
      <c r="Q46" s="25"/>
      <c r="R46" s="25"/>
      <c r="S46" s="25"/>
      <c r="T46" s="25"/>
      <c r="U46" s="25"/>
      <c r="V46" s="25"/>
      <c r="W46" s="25"/>
      <c r="X46" s="25"/>
      <c r="Y46" s="25"/>
      <c r="Z46" s="25"/>
      <c r="AA46" s="25"/>
      <c r="AB46" s="54"/>
      <c r="AC46" s="54"/>
      <c r="AD46" s="54"/>
      <c r="AE46" s="54"/>
      <c r="AF46" s="54"/>
      <c r="AG46" s="54"/>
      <c r="AH46" s="54"/>
      <c r="AI46" s="54"/>
      <c r="AJ46" s="54"/>
      <c r="AM46" s="90"/>
      <c r="AN46" s="90"/>
      <c r="AO46" s="90"/>
      <c r="AP46" s="90"/>
      <c r="AQ46" s="90"/>
      <c r="AR46" s="90"/>
      <c r="AS46" s="90"/>
      <c r="AT46" s="90"/>
    </row>
    <row r="47" spans="1:46" ht="13.5" thickBot="1" x14ac:dyDescent="0.25">
      <c r="A47" s="33"/>
      <c r="B47" s="617"/>
      <c r="C47" s="617"/>
      <c r="D47" s="617"/>
      <c r="E47" s="617"/>
      <c r="F47" s="617"/>
      <c r="G47" s="617"/>
      <c r="H47" s="617"/>
      <c r="I47" s="617"/>
      <c r="J47" s="617"/>
      <c r="K47" s="30"/>
      <c r="L47" s="42"/>
      <c r="M47" s="25"/>
      <c r="P47" s="75"/>
      <c r="S47" s="10"/>
      <c r="T47" s="10"/>
      <c r="U47" s="10"/>
      <c r="V47" s="10"/>
      <c r="W47" s="10"/>
      <c r="X47" s="10"/>
      <c r="Y47" s="10"/>
      <c r="Z47" s="10"/>
      <c r="AA47" s="10"/>
      <c r="AB47" s="10"/>
      <c r="AC47" s="10"/>
      <c r="AD47" s="10"/>
      <c r="AE47" s="10"/>
      <c r="AF47" s="10"/>
      <c r="AG47" s="10"/>
      <c r="AH47" s="10"/>
      <c r="AI47" s="10"/>
      <c r="AJ47" s="10"/>
      <c r="AM47" s="90"/>
      <c r="AN47" s="90"/>
      <c r="AO47" s="90"/>
      <c r="AP47" s="90"/>
      <c r="AQ47" s="90"/>
      <c r="AR47" s="90"/>
      <c r="AS47" s="90"/>
      <c r="AT47" s="90"/>
    </row>
    <row r="48" spans="1:46" x14ac:dyDescent="0.2">
      <c r="A48" s="90"/>
      <c r="B48" s="602" t="s">
        <v>19</v>
      </c>
      <c r="C48" s="603"/>
      <c r="D48" s="603"/>
      <c r="E48" s="604" t="s">
        <v>20</v>
      </c>
      <c r="F48" s="603"/>
      <c r="G48" s="603"/>
      <c r="H48" s="604" t="s">
        <v>21</v>
      </c>
      <c r="I48" s="603"/>
      <c r="J48" s="605"/>
      <c r="K48" s="91"/>
      <c r="L48" s="64"/>
      <c r="M48" s="25"/>
      <c r="P48" s="75"/>
      <c r="S48" s="77"/>
      <c r="T48" s="10"/>
      <c r="U48" s="10"/>
      <c r="V48" s="10"/>
      <c r="W48" s="10"/>
      <c r="X48" s="10"/>
      <c r="Y48" s="10"/>
      <c r="Z48" s="10"/>
      <c r="AA48" s="10"/>
      <c r="AB48" s="77"/>
      <c r="AC48" s="10"/>
      <c r="AD48" s="10"/>
      <c r="AE48" s="10"/>
      <c r="AF48" s="10"/>
      <c r="AG48" s="10"/>
      <c r="AH48" s="10"/>
      <c r="AI48" s="10"/>
      <c r="AJ48" s="10"/>
      <c r="AM48" s="52"/>
      <c r="AN48" s="45"/>
      <c r="AO48" s="45"/>
      <c r="AP48" s="45"/>
      <c r="AQ48" s="45"/>
      <c r="AR48" s="45"/>
      <c r="AS48" s="84"/>
    </row>
    <row r="49" spans="1:54" ht="13.5" x14ac:dyDescent="0.25">
      <c r="A49" s="90"/>
      <c r="B49" s="610" t="s">
        <v>49</v>
      </c>
      <c r="C49" s="611"/>
      <c r="D49" s="611"/>
      <c r="E49" s="606" t="s">
        <v>268</v>
      </c>
      <c r="F49" s="607"/>
      <c r="G49" s="607"/>
      <c r="H49" s="606" t="s">
        <v>269</v>
      </c>
      <c r="I49" s="607"/>
      <c r="J49" s="640"/>
      <c r="K49" s="44"/>
      <c r="L49" s="42"/>
      <c r="M49" s="25"/>
      <c r="P49" s="75"/>
      <c r="S49" s="77"/>
      <c r="T49" s="10"/>
      <c r="U49" s="10"/>
      <c r="V49" s="10"/>
      <c r="W49" s="10"/>
      <c r="X49" s="10"/>
      <c r="Y49" s="10"/>
      <c r="Z49" s="10"/>
      <c r="AA49" s="10"/>
      <c r="AB49" s="77"/>
      <c r="AC49" s="10"/>
      <c r="AD49" s="10"/>
      <c r="AE49" s="10"/>
      <c r="AF49" s="10"/>
      <c r="AG49" s="10"/>
      <c r="AH49" s="10"/>
      <c r="AI49" s="10"/>
      <c r="AJ49" s="10"/>
      <c r="AM49" s="52"/>
      <c r="AN49" s="45"/>
      <c r="AO49" s="45"/>
      <c r="AP49" s="45"/>
      <c r="AQ49" s="45"/>
      <c r="AR49" s="45"/>
      <c r="AS49" s="84"/>
    </row>
    <row r="50" spans="1:54" ht="15.75" x14ac:dyDescent="0.2">
      <c r="A50" s="88"/>
      <c r="B50" s="601" t="s">
        <v>39</v>
      </c>
      <c r="C50" s="630"/>
      <c r="D50" s="630"/>
      <c r="E50" s="260" t="s">
        <v>280</v>
      </c>
      <c r="F50" s="252"/>
      <c r="G50" s="252"/>
      <c r="H50" s="260" t="s">
        <v>283</v>
      </c>
      <c r="I50" s="252"/>
      <c r="J50" s="261"/>
      <c r="K50" s="53"/>
      <c r="L50" s="53"/>
      <c r="M50" s="53"/>
      <c r="N50" s="53"/>
      <c r="P50" s="75"/>
      <c r="S50" s="77"/>
      <c r="T50" s="10"/>
      <c r="U50" s="10"/>
      <c r="V50" s="10"/>
      <c r="W50" s="10"/>
      <c r="X50" s="10"/>
      <c r="Y50" s="10"/>
      <c r="Z50" s="10"/>
      <c r="AA50" s="10"/>
      <c r="AB50" s="77"/>
      <c r="AC50" s="10"/>
      <c r="AD50" s="10"/>
      <c r="AE50" s="10"/>
      <c r="AF50" s="10"/>
      <c r="AG50" s="10"/>
      <c r="AH50" s="10"/>
      <c r="AI50" s="10"/>
      <c r="AJ50" s="10"/>
      <c r="AM50" s="52"/>
      <c r="AN50" s="45"/>
      <c r="AO50" s="45"/>
      <c r="AP50" s="45"/>
      <c r="AQ50" s="45"/>
      <c r="AR50" s="45"/>
      <c r="AS50" s="84"/>
    </row>
    <row r="51" spans="1:54" x14ac:dyDescent="0.2">
      <c r="A51" s="41"/>
      <c r="B51" s="631"/>
      <c r="C51" s="630"/>
      <c r="D51" s="630"/>
      <c r="E51" s="264">
        <f ca="1">+D40</f>
        <v>0.44990952192168371</v>
      </c>
      <c r="F51" s="619"/>
      <c r="G51" s="265"/>
      <c r="H51" s="264">
        <f ca="1">+O40</f>
        <v>0.31679805014190149</v>
      </c>
      <c r="I51" s="618"/>
      <c r="J51" s="618"/>
      <c r="K51" s="41"/>
      <c r="L51" s="41"/>
      <c r="M51" s="41"/>
      <c r="P51" s="75"/>
      <c r="S51" s="10"/>
      <c r="T51" s="10"/>
      <c r="U51" s="10"/>
      <c r="V51" s="10"/>
      <c r="W51" s="10"/>
      <c r="X51" s="10"/>
      <c r="Y51" s="10"/>
      <c r="Z51" s="10"/>
      <c r="AA51" s="10"/>
      <c r="AB51" s="10"/>
      <c r="AC51" s="10"/>
      <c r="AD51" s="10"/>
      <c r="AE51" s="10"/>
      <c r="AF51" s="10"/>
      <c r="AG51" s="10"/>
      <c r="AH51" s="10"/>
      <c r="AI51" s="10"/>
      <c r="AJ51" s="10"/>
      <c r="AM51" s="45"/>
      <c r="AN51" s="45"/>
      <c r="AO51" s="45"/>
      <c r="AP51" s="45"/>
      <c r="AQ51" s="45"/>
      <c r="AR51" s="45"/>
      <c r="AS51" s="84"/>
      <c r="AT51" s="58"/>
      <c r="AU51" s="58"/>
      <c r="AV51" s="58"/>
      <c r="AW51" s="58"/>
      <c r="AX51" s="58"/>
      <c r="AY51" s="58"/>
      <c r="AZ51" s="58"/>
      <c r="BA51" s="58"/>
      <c r="BB51" s="58"/>
    </row>
    <row r="52" spans="1:54" ht="15.75" x14ac:dyDescent="0.2">
      <c r="A52" s="45"/>
      <c r="B52" s="601" t="s">
        <v>272</v>
      </c>
      <c r="C52" s="630"/>
      <c r="D52" s="630"/>
      <c r="E52" s="260" t="s">
        <v>281</v>
      </c>
      <c r="F52" s="252"/>
      <c r="G52" s="252"/>
      <c r="H52" s="260" t="s">
        <v>276</v>
      </c>
      <c r="I52" s="252"/>
      <c r="J52" s="261"/>
      <c r="K52" s="45"/>
      <c r="L52" s="45"/>
      <c r="M52" s="46"/>
      <c r="P52" s="75"/>
      <c r="S52" s="10"/>
      <c r="T52" s="10"/>
      <c r="U52" s="10"/>
      <c r="V52" s="10"/>
      <c r="W52" s="10"/>
      <c r="X52" s="10"/>
      <c r="Y52" s="10"/>
      <c r="Z52" s="10"/>
      <c r="AA52" s="10"/>
      <c r="AB52" s="10"/>
      <c r="AC52" s="10"/>
      <c r="AD52" s="10"/>
      <c r="AE52" s="10"/>
      <c r="AF52" s="10"/>
      <c r="AG52" s="10"/>
      <c r="AH52" s="10"/>
      <c r="AI52" s="10"/>
      <c r="AJ52" s="10"/>
      <c r="AM52" s="43"/>
      <c r="AP52" s="54"/>
      <c r="AT52" s="25"/>
      <c r="AY52" s="25"/>
      <c r="AZ52" s="25"/>
      <c r="BA52" s="25"/>
      <c r="BB52" s="25"/>
    </row>
    <row r="53" spans="1:54" x14ac:dyDescent="0.2">
      <c r="A53" s="43"/>
      <c r="B53" s="631"/>
      <c r="C53" s="630"/>
      <c r="D53" s="630"/>
      <c r="E53" s="643">
        <f ca="1">+E40</f>
        <v>0.30136680674596766</v>
      </c>
      <c r="F53" s="644"/>
      <c r="G53" s="645"/>
      <c r="H53" s="429">
        <f ca="1">+O40*E40/D40</f>
        <v>0.2122035922841233</v>
      </c>
      <c r="I53" s="618"/>
      <c r="J53" s="618"/>
      <c r="K53" s="25"/>
      <c r="L53" s="25"/>
      <c r="M53" s="25"/>
      <c r="P53" s="75"/>
      <c r="S53" s="10"/>
      <c r="T53" s="10"/>
      <c r="U53" s="10"/>
      <c r="V53" s="10"/>
      <c r="W53" s="10"/>
      <c r="X53" s="10"/>
      <c r="Y53" s="10"/>
      <c r="Z53" s="10"/>
      <c r="AA53" s="10"/>
      <c r="AB53" s="10"/>
      <c r="AC53" s="10"/>
      <c r="AD53" s="10"/>
      <c r="AE53" s="10"/>
      <c r="AF53" s="10"/>
      <c r="AG53" s="10"/>
      <c r="AH53" s="10"/>
      <c r="AI53" s="10"/>
      <c r="AJ53" s="10"/>
      <c r="AM53" s="57"/>
      <c r="AN53" s="53"/>
      <c r="AO53" s="25"/>
      <c r="AP53" s="56"/>
      <c r="AQ53" s="54"/>
      <c r="AR53" s="58"/>
      <c r="AT53" s="54"/>
      <c r="AY53" s="54"/>
      <c r="AZ53" s="54"/>
      <c r="BA53" s="54"/>
    </row>
    <row r="54" spans="1:54" ht="15.75" x14ac:dyDescent="0.2">
      <c r="A54" s="40"/>
      <c r="B54" s="632" t="s">
        <v>273</v>
      </c>
      <c r="C54" s="633"/>
      <c r="D54" s="633"/>
      <c r="E54" s="260" t="s">
        <v>282</v>
      </c>
      <c r="F54" s="252"/>
      <c r="G54" s="252"/>
      <c r="H54" s="260" t="s">
        <v>277</v>
      </c>
      <c r="I54" s="252"/>
      <c r="J54" s="261"/>
      <c r="K54" s="47"/>
      <c r="L54" s="47"/>
      <c r="M54" s="25"/>
      <c r="P54" s="75"/>
      <c r="S54" s="10"/>
      <c r="T54" s="10"/>
      <c r="U54" s="10"/>
      <c r="V54" s="10"/>
      <c r="W54" s="10"/>
      <c r="X54" s="10"/>
      <c r="Y54" s="10"/>
      <c r="Z54" s="10"/>
      <c r="AA54" s="10"/>
      <c r="AB54" s="10"/>
      <c r="AC54" s="10"/>
      <c r="AD54" s="10"/>
      <c r="AE54" s="10"/>
      <c r="AF54" s="10"/>
      <c r="AG54" s="10"/>
      <c r="AH54" s="10"/>
      <c r="AI54" s="10"/>
      <c r="AJ54" s="10"/>
      <c r="AM54" s="48"/>
      <c r="AN54" s="25"/>
      <c r="AP54" s="59"/>
      <c r="AQ54" s="25"/>
      <c r="AR54" s="59"/>
      <c r="AS54" s="59"/>
      <c r="AY54" s="54"/>
      <c r="AZ54" s="54"/>
      <c r="BA54" s="54"/>
    </row>
    <row r="55" spans="1:54" ht="13.5" thickBot="1" x14ac:dyDescent="0.25">
      <c r="A55" s="52"/>
      <c r="B55" s="634"/>
      <c r="C55" s="635"/>
      <c r="D55" s="635"/>
      <c r="E55" s="620">
        <f ca="1">+F40</f>
        <v>0.14854271517571599</v>
      </c>
      <c r="F55" s="621"/>
      <c r="G55" s="622"/>
      <c r="H55" s="623">
        <f ca="1">+O40*F40/D40</f>
        <v>0.10459445785777816</v>
      </c>
      <c r="I55" s="624"/>
      <c r="J55" s="624"/>
      <c r="K55" s="52"/>
      <c r="L55" s="52"/>
      <c r="M55" s="52"/>
      <c r="P55" s="75"/>
      <c r="S55" s="10"/>
      <c r="T55" s="10"/>
      <c r="U55" s="10"/>
      <c r="V55" s="10"/>
      <c r="W55" s="10"/>
      <c r="X55" s="10"/>
      <c r="Y55" s="10"/>
      <c r="Z55" s="10"/>
      <c r="AA55" s="10"/>
      <c r="AB55" s="10"/>
      <c r="AC55" s="10"/>
      <c r="AD55" s="10"/>
      <c r="AE55" s="10"/>
      <c r="AF55" s="10"/>
      <c r="AG55" s="10"/>
      <c r="AH55" s="10"/>
      <c r="AI55" s="10"/>
      <c r="AJ55" s="10"/>
      <c r="AM55" s="48"/>
      <c r="AN55" s="25"/>
      <c r="AP55" s="59"/>
      <c r="AQ55" s="25"/>
      <c r="AR55" s="59"/>
      <c r="AS55" s="59"/>
      <c r="AY55" s="54"/>
      <c r="AZ55" s="54"/>
      <c r="BA55" s="56"/>
    </row>
    <row r="56" spans="1:54" x14ac:dyDescent="0.2">
      <c r="A56" s="52"/>
      <c r="C56" s="40"/>
      <c r="D56" s="40"/>
      <c r="E56" s="40"/>
      <c r="F56" s="47"/>
      <c r="G56" s="40"/>
      <c r="H56" s="40"/>
      <c r="I56" s="47"/>
      <c r="K56" s="25"/>
      <c r="L56" s="25"/>
      <c r="M56" s="25"/>
      <c r="AM56" s="48"/>
      <c r="AN56" s="25"/>
      <c r="AP56" s="42"/>
      <c r="AQ56" s="25"/>
      <c r="AR56" s="59"/>
      <c r="AS56" s="59"/>
      <c r="AY56" s="25"/>
      <c r="AZ56" s="38"/>
      <c r="BA56" s="32"/>
    </row>
    <row r="57" spans="1:54" x14ac:dyDescent="0.2">
      <c r="A57" s="25"/>
      <c r="B57" s="25"/>
      <c r="C57" s="25"/>
      <c r="F57" s="25"/>
      <c r="G57" s="25"/>
      <c r="H57" s="25"/>
      <c r="I57" s="25"/>
      <c r="J57" s="25"/>
      <c r="K57" s="25"/>
      <c r="L57" s="25"/>
      <c r="M57" s="25"/>
    </row>
    <row r="58" spans="1:54" x14ac:dyDescent="0.2">
      <c r="A58" s="25"/>
      <c r="B58" s="25"/>
      <c r="C58" s="65"/>
      <c r="D58" s="93"/>
      <c r="E58" s="66"/>
      <c r="F58" s="65"/>
      <c r="G58" s="93"/>
      <c r="H58" s="66"/>
      <c r="I58" s="65"/>
      <c r="J58" s="93"/>
      <c r="K58" s="65"/>
      <c r="L58" s="93"/>
      <c r="M58" s="66"/>
    </row>
    <row r="59" spans="1:54" x14ac:dyDescent="0.2">
      <c r="A59" s="25"/>
      <c r="B59" s="25"/>
      <c r="C59" s="25"/>
      <c r="D59" s="25"/>
      <c r="E59" s="25"/>
      <c r="F59" s="25"/>
      <c r="G59" s="25"/>
      <c r="H59" s="25"/>
      <c r="I59" s="25"/>
      <c r="J59" s="25"/>
      <c r="K59" s="25"/>
      <c r="L59" s="25"/>
      <c r="M59" s="25"/>
    </row>
    <row r="60" spans="1:54" x14ac:dyDescent="0.2">
      <c r="C60" s="42"/>
      <c r="D60" s="42"/>
      <c r="E60" s="42"/>
      <c r="F60" s="42"/>
      <c r="G60" s="42"/>
      <c r="H60" s="42"/>
      <c r="I60" s="42"/>
      <c r="J60" s="42"/>
      <c r="K60" s="42"/>
      <c r="L60" s="42"/>
      <c r="M60" s="42"/>
    </row>
    <row r="61" spans="1:54" x14ac:dyDescent="0.2">
      <c r="A61" s="30"/>
      <c r="B61" s="30"/>
      <c r="C61" s="30"/>
      <c r="D61" s="64"/>
      <c r="E61" s="30"/>
      <c r="F61" s="30"/>
      <c r="G61" s="47"/>
      <c r="I61" s="30"/>
      <c r="J61" s="64"/>
      <c r="K61" s="30"/>
      <c r="L61" s="64"/>
      <c r="M61" s="25"/>
    </row>
    <row r="62" spans="1:54" x14ac:dyDescent="0.2">
      <c r="A62" s="72"/>
      <c r="C62" s="42"/>
      <c r="D62" s="42"/>
      <c r="E62" s="42"/>
      <c r="F62" s="42"/>
      <c r="G62" s="42"/>
      <c r="H62" s="42"/>
      <c r="I62" s="42"/>
      <c r="J62" s="42"/>
      <c r="K62" s="42"/>
      <c r="L62" s="42"/>
      <c r="M62" s="42"/>
    </row>
    <row r="63" spans="1:54" x14ac:dyDescent="0.2">
      <c r="A63" s="72"/>
      <c r="C63" s="42"/>
      <c r="D63" s="42"/>
      <c r="E63" s="42"/>
      <c r="F63" s="42"/>
      <c r="G63" s="42"/>
      <c r="H63" s="42"/>
      <c r="I63" s="42"/>
      <c r="J63" s="42"/>
      <c r="K63" s="42"/>
      <c r="L63" s="42"/>
      <c r="M63" s="42"/>
    </row>
    <row r="64" spans="1:54" x14ac:dyDescent="0.2">
      <c r="A64" s="57"/>
      <c r="C64" s="42"/>
      <c r="D64" s="42"/>
      <c r="E64" s="42"/>
      <c r="F64" s="42"/>
      <c r="G64" s="42"/>
      <c r="H64" s="42"/>
      <c r="I64" s="42"/>
      <c r="J64" s="42"/>
      <c r="K64" s="42"/>
      <c r="L64" s="42"/>
      <c r="M64" s="42"/>
    </row>
    <row r="65" spans="1:14" x14ac:dyDescent="0.2">
      <c r="A65" s="72"/>
      <c r="C65" s="42"/>
      <c r="D65" s="42"/>
      <c r="E65" s="42"/>
      <c r="F65" s="42"/>
      <c r="G65" s="42"/>
      <c r="H65" s="42"/>
      <c r="I65" s="42"/>
      <c r="J65" s="42"/>
      <c r="K65" s="42"/>
      <c r="L65" s="42"/>
      <c r="M65" s="42"/>
    </row>
    <row r="66" spans="1:14" x14ac:dyDescent="0.2">
      <c r="A66" s="72"/>
      <c r="C66" s="42"/>
      <c r="D66" s="42"/>
      <c r="E66" s="42"/>
      <c r="F66" s="42"/>
      <c r="G66" s="42"/>
      <c r="H66" s="42"/>
      <c r="I66" s="42"/>
      <c r="J66" s="42"/>
      <c r="K66" s="42"/>
      <c r="L66" s="42"/>
      <c r="M66" s="42"/>
    </row>
    <row r="67" spans="1:14" x14ac:dyDescent="0.2">
      <c r="A67" s="72"/>
      <c r="C67" s="42"/>
      <c r="D67" s="42"/>
      <c r="E67" s="42"/>
      <c r="F67" s="42"/>
      <c r="G67" s="42"/>
      <c r="H67" s="42"/>
      <c r="I67" s="42"/>
      <c r="J67" s="42"/>
      <c r="K67" s="42"/>
      <c r="L67" s="42"/>
      <c r="M67" s="42"/>
    </row>
    <row r="68" spans="1:14" x14ac:dyDescent="0.2">
      <c r="A68" s="88"/>
      <c r="B68" s="53"/>
      <c r="C68" s="53"/>
      <c r="D68" s="53"/>
      <c r="E68" s="53"/>
      <c r="F68" s="53"/>
      <c r="G68" s="53"/>
      <c r="H68" s="53"/>
      <c r="I68" s="53"/>
      <c r="J68" s="53"/>
      <c r="K68" s="53"/>
      <c r="L68" s="53"/>
      <c r="M68" s="53"/>
      <c r="N68" s="53"/>
    </row>
    <row r="69" spans="1:14" x14ac:dyDescent="0.2">
      <c r="C69" s="42"/>
      <c r="D69" s="42"/>
      <c r="E69" s="42"/>
      <c r="F69" s="42"/>
      <c r="G69" s="25"/>
      <c r="H69" s="42"/>
      <c r="I69" s="42"/>
      <c r="J69" s="42"/>
      <c r="K69" s="25"/>
      <c r="L69" s="42"/>
      <c r="M69" s="42"/>
    </row>
    <row r="70" spans="1:14" x14ac:dyDescent="0.2">
      <c r="A70" s="54"/>
      <c r="B70" s="25"/>
      <c r="C70" s="25"/>
      <c r="D70" s="25"/>
      <c r="E70" s="25"/>
      <c r="F70" s="25"/>
      <c r="G70" s="25"/>
    </row>
    <row r="72" spans="1:14" x14ac:dyDescent="0.2">
      <c r="A72" s="43"/>
      <c r="B72" s="43"/>
      <c r="C72" s="43"/>
      <c r="D72" s="43"/>
      <c r="E72" s="43"/>
      <c r="F72" s="43"/>
      <c r="G72" s="43"/>
      <c r="H72" s="43"/>
      <c r="I72" s="43"/>
      <c r="J72" s="43"/>
      <c r="K72" s="43"/>
      <c r="L72" s="43"/>
      <c r="M72" s="43"/>
    </row>
    <row r="73" spans="1:14" x14ac:dyDescent="0.2">
      <c r="A73" s="40"/>
      <c r="B73" s="40"/>
      <c r="C73" s="40"/>
      <c r="E73" s="47"/>
      <c r="F73" s="25"/>
      <c r="G73" s="25"/>
      <c r="H73" s="25"/>
      <c r="I73" s="47"/>
      <c r="J73" s="25"/>
      <c r="K73" s="25"/>
      <c r="L73" s="25"/>
      <c r="M73" s="25"/>
    </row>
    <row r="74" spans="1:14" x14ac:dyDescent="0.2">
      <c r="A74" s="52"/>
      <c r="B74" s="52"/>
      <c r="C74" s="52"/>
      <c r="D74" s="52"/>
      <c r="E74" s="54"/>
      <c r="F74" s="54"/>
      <c r="G74" s="54"/>
      <c r="H74" s="54"/>
      <c r="I74" s="54"/>
      <c r="J74" s="54"/>
      <c r="K74" s="54"/>
      <c r="L74" s="54"/>
      <c r="M74" s="54"/>
    </row>
    <row r="75" spans="1:14" x14ac:dyDescent="0.2">
      <c r="A75" s="84"/>
      <c r="B75" s="84"/>
      <c r="C75" s="84"/>
      <c r="D75" s="84"/>
      <c r="E75" s="47"/>
      <c r="I75" s="47"/>
      <c r="J75" s="40"/>
      <c r="K75" s="40"/>
    </row>
    <row r="76" spans="1:14" x14ac:dyDescent="0.2">
      <c r="A76" s="53"/>
      <c r="B76" s="53"/>
      <c r="C76" s="53"/>
      <c r="E76" s="42"/>
      <c r="F76" s="25"/>
      <c r="G76" s="25"/>
      <c r="H76" s="25"/>
      <c r="I76" s="10"/>
      <c r="J76" s="10"/>
      <c r="K76" s="10"/>
      <c r="L76" s="10"/>
      <c r="M76" s="10"/>
    </row>
    <row r="77" spans="1:14" x14ac:dyDescent="0.2">
      <c r="A77" s="53"/>
      <c r="B77" s="53"/>
      <c r="C77" s="53"/>
      <c r="E77" s="42"/>
      <c r="F77" s="25"/>
      <c r="G77" s="25"/>
      <c r="H77" s="25"/>
      <c r="I77" s="10"/>
      <c r="J77" s="10"/>
      <c r="K77" s="10"/>
      <c r="L77" s="10"/>
      <c r="M77" s="10"/>
    </row>
    <row r="78" spans="1:14" x14ac:dyDescent="0.2">
      <c r="A78" s="57"/>
      <c r="B78" s="53"/>
      <c r="C78" s="53"/>
      <c r="E78" s="42"/>
      <c r="F78" s="25"/>
      <c r="G78" s="25"/>
      <c r="H78" s="25"/>
      <c r="I78" s="10"/>
      <c r="J78" s="10"/>
      <c r="K78" s="10"/>
      <c r="L78" s="10"/>
      <c r="M78" s="10"/>
    </row>
    <row r="79" spans="1:14" x14ac:dyDescent="0.2">
      <c r="A79" s="53"/>
      <c r="B79" s="53"/>
      <c r="C79" s="53"/>
      <c r="E79" s="42"/>
      <c r="F79" s="25"/>
      <c r="G79" s="25"/>
      <c r="H79" s="25"/>
      <c r="I79" s="10"/>
      <c r="J79" s="10"/>
      <c r="K79" s="10"/>
      <c r="L79" s="10"/>
      <c r="M79" s="10"/>
    </row>
    <row r="80" spans="1:14" x14ac:dyDescent="0.2">
      <c r="A80" s="88"/>
      <c r="B80" s="53"/>
      <c r="C80" s="53"/>
      <c r="D80" s="53"/>
      <c r="E80" s="53"/>
      <c r="F80" s="53"/>
      <c r="G80" s="53"/>
      <c r="H80" s="53"/>
      <c r="I80" s="53"/>
      <c r="J80" s="53"/>
      <c r="K80" s="53"/>
      <c r="L80" s="53"/>
      <c r="M80" s="53"/>
      <c r="N80" s="53"/>
    </row>
    <row r="85" spans="1:13" x14ac:dyDescent="0.2">
      <c r="A85" s="40"/>
      <c r="B85" s="40"/>
      <c r="C85" s="40"/>
      <c r="D85" s="40"/>
      <c r="E85" s="40"/>
      <c r="F85" s="40"/>
      <c r="G85" s="40"/>
      <c r="H85" s="40"/>
      <c r="I85" s="40"/>
      <c r="J85" s="40"/>
      <c r="K85" s="40"/>
      <c r="L85" s="40"/>
      <c r="M85" s="40"/>
    </row>
    <row r="86" spans="1:13" x14ac:dyDescent="0.2">
      <c r="A86" s="51"/>
      <c r="B86" s="51"/>
      <c r="C86" s="51"/>
      <c r="D86" s="52"/>
      <c r="E86" s="52"/>
      <c r="F86" s="52"/>
      <c r="G86" s="52"/>
      <c r="I86" s="52"/>
      <c r="J86" s="52"/>
      <c r="K86" s="52"/>
      <c r="L86" s="52"/>
      <c r="M86" s="52"/>
    </row>
    <row r="87" spans="1:13" x14ac:dyDescent="0.2">
      <c r="A87" s="51"/>
      <c r="B87" s="51"/>
      <c r="C87" s="51"/>
      <c r="D87" s="40"/>
      <c r="G87" s="40"/>
      <c r="H87" s="40"/>
      <c r="I87" s="40"/>
      <c r="J87" s="52"/>
      <c r="K87" s="52"/>
      <c r="L87" s="40"/>
      <c r="M87" s="40"/>
    </row>
    <row r="88" spans="1:13" x14ac:dyDescent="0.2">
      <c r="A88" s="53"/>
      <c r="B88" s="53"/>
      <c r="C88" s="53"/>
      <c r="D88" s="42"/>
      <c r="E88" s="25"/>
      <c r="F88" s="25"/>
      <c r="G88" s="42"/>
      <c r="H88" s="25"/>
      <c r="I88" s="25"/>
      <c r="J88" s="25"/>
      <c r="K88" s="25"/>
      <c r="L88" s="10"/>
      <c r="M88" s="10"/>
    </row>
    <row r="89" spans="1:13" x14ac:dyDescent="0.2">
      <c r="A89" s="53"/>
      <c r="B89" s="53"/>
      <c r="C89" s="53"/>
      <c r="D89" s="42"/>
      <c r="E89" s="25"/>
      <c r="F89" s="25"/>
      <c r="G89" s="42"/>
      <c r="H89" s="25"/>
      <c r="I89" s="25"/>
      <c r="J89" s="25"/>
      <c r="K89" s="25"/>
      <c r="L89" s="10"/>
      <c r="M89" s="10"/>
    </row>
    <row r="90" spans="1:13" x14ac:dyDescent="0.2">
      <c r="A90" s="53"/>
      <c r="B90" s="53"/>
      <c r="C90" s="53"/>
      <c r="D90" s="42"/>
      <c r="E90" s="25"/>
      <c r="F90" s="25"/>
      <c r="G90" s="42"/>
      <c r="H90" s="25"/>
      <c r="I90" s="25"/>
      <c r="J90" s="25"/>
      <c r="K90" s="25"/>
      <c r="L90" s="10"/>
      <c r="M90" s="10"/>
    </row>
  </sheetData>
  <mergeCells count="76">
    <mergeCell ref="B27:C27"/>
    <mergeCell ref="B28:C28"/>
    <mergeCell ref="B29:C29"/>
    <mergeCell ref="B22:C22"/>
    <mergeCell ref="B23:C23"/>
    <mergeCell ref="B24:C24"/>
    <mergeCell ref="B25:C25"/>
    <mergeCell ref="B26:C26"/>
    <mergeCell ref="B40:C40"/>
    <mergeCell ref="B32:C32"/>
    <mergeCell ref="B49:D49"/>
    <mergeCell ref="E49:G49"/>
    <mergeCell ref="F8:F9"/>
    <mergeCell ref="B6:C9"/>
    <mergeCell ref="B39:C39"/>
    <mergeCell ref="B37:C37"/>
    <mergeCell ref="B38:C38"/>
    <mergeCell ref="B31:C31"/>
    <mergeCell ref="B35:C35"/>
    <mergeCell ref="B36:C36"/>
    <mergeCell ref="B34:C34"/>
    <mergeCell ref="B11:C11"/>
    <mergeCell ref="B12:C12"/>
    <mergeCell ref="B13:C13"/>
    <mergeCell ref="B3:O4"/>
    <mergeCell ref="O6:O7"/>
    <mergeCell ref="O8:O9"/>
    <mergeCell ref="B15:C15"/>
    <mergeCell ref="B16:C16"/>
    <mergeCell ref="D8:D9"/>
    <mergeCell ref="H6:H9"/>
    <mergeCell ref="I6:I7"/>
    <mergeCell ref="E8:E9"/>
    <mergeCell ref="G6:G9"/>
    <mergeCell ref="D6:F7"/>
    <mergeCell ref="N6:N7"/>
    <mergeCell ref="M8:M9"/>
    <mergeCell ref="N8:N9"/>
    <mergeCell ref="B10:O10"/>
    <mergeCell ref="B5:C5"/>
    <mergeCell ref="B33:C33"/>
    <mergeCell ref="M6:M7"/>
    <mergeCell ref="L8:L9"/>
    <mergeCell ref="I8:I9"/>
    <mergeCell ref="J8:J9"/>
    <mergeCell ref="J6:J7"/>
    <mergeCell ref="K6:K7"/>
    <mergeCell ref="L6:L7"/>
    <mergeCell ref="K8:K9"/>
    <mergeCell ref="B14:C14"/>
    <mergeCell ref="B30:O30"/>
    <mergeCell ref="B17:C17"/>
    <mergeCell ref="B18:C18"/>
    <mergeCell ref="B19:C19"/>
    <mergeCell ref="B20:O20"/>
    <mergeCell ref="B21:C21"/>
    <mergeCell ref="B46:J47"/>
    <mergeCell ref="B48:D48"/>
    <mergeCell ref="E48:G48"/>
    <mergeCell ref="H48:J48"/>
    <mergeCell ref="H49:J49"/>
    <mergeCell ref="E50:G50"/>
    <mergeCell ref="H50:J50"/>
    <mergeCell ref="E51:G51"/>
    <mergeCell ref="H51:J51"/>
    <mergeCell ref="B52:D53"/>
    <mergeCell ref="E52:G52"/>
    <mergeCell ref="H52:J52"/>
    <mergeCell ref="E53:G53"/>
    <mergeCell ref="H53:J53"/>
    <mergeCell ref="B50:D51"/>
    <mergeCell ref="B54:D55"/>
    <mergeCell ref="E54:G54"/>
    <mergeCell ref="H54:J54"/>
    <mergeCell ref="E55:G55"/>
    <mergeCell ref="H55:J55"/>
  </mergeCells>
  <dataValidations count="1">
    <dataValidation type="list" allowBlank="1" showInputMessage="1" showErrorMessage="1" sqref="AO53 S32 S7" xr:uid="{00000000-0002-0000-0A00-000000000000}">
      <formula1>Local</formula1>
    </dataValidation>
  </dataValidations>
  <pageMargins left="0.7" right="0.7" top="0.75" bottom="0.75" header="0.3" footer="0.3"/>
  <ignoredErrors>
    <ignoredError sqref="B5 D5:O5 B48 E48 H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AK84"/>
  <sheetViews>
    <sheetView topLeftCell="A22" workbookViewId="0">
      <selection activeCell="AE34" sqref="AE34:AF34"/>
    </sheetView>
  </sheetViews>
  <sheetFormatPr defaultRowHeight="12.75" x14ac:dyDescent="0.2"/>
  <cols>
    <col min="2" max="6" width="13.7109375" customWidth="1"/>
    <col min="7" max="7" width="14.7109375" customWidth="1"/>
    <col min="8" max="10" width="13.7109375" customWidth="1"/>
    <col min="11" max="11" width="14.7109375" customWidth="1"/>
    <col min="12" max="13" width="13.7109375" customWidth="1"/>
    <col min="14" max="32" width="12.7109375" customWidth="1"/>
  </cols>
  <sheetData>
    <row r="1" spans="1:37" x14ac:dyDescent="0.2">
      <c r="B1" s="120" t="s">
        <v>297</v>
      </c>
      <c r="O1" s="120" t="s">
        <v>298</v>
      </c>
    </row>
    <row r="2" spans="1:37" ht="13.5" thickBot="1" x14ac:dyDescent="0.25">
      <c r="B2" s="6"/>
      <c r="E2" s="25"/>
      <c r="K2" s="7"/>
      <c r="U2" s="31"/>
      <c r="AA2" s="31"/>
    </row>
    <row r="3" spans="1:37" ht="13.5" thickTop="1" x14ac:dyDescent="0.2">
      <c r="B3" s="683" t="s">
        <v>324</v>
      </c>
      <c r="C3" s="683"/>
      <c r="D3" s="683"/>
      <c r="E3" s="683"/>
      <c r="F3" s="683"/>
      <c r="G3" s="683"/>
      <c r="H3" s="683"/>
      <c r="I3" s="683"/>
      <c r="J3" s="683"/>
      <c r="K3" s="687"/>
      <c r="L3" s="687"/>
      <c r="U3" s="31"/>
      <c r="AA3" s="16"/>
    </row>
    <row r="4" spans="1:37" ht="13.5" thickBot="1" x14ac:dyDescent="0.25">
      <c r="B4" s="667"/>
      <c r="C4" s="667"/>
      <c r="D4" s="667"/>
      <c r="E4" s="667"/>
      <c r="F4" s="667"/>
      <c r="G4" s="667"/>
      <c r="H4" s="667"/>
      <c r="I4" s="667"/>
      <c r="J4" s="667"/>
      <c r="K4" s="688"/>
      <c r="L4" s="688"/>
      <c r="AA4" s="16"/>
    </row>
    <row r="5" spans="1:37" ht="13.5" thickBot="1" x14ac:dyDescent="0.25">
      <c r="B5" s="673" t="s">
        <v>64</v>
      </c>
      <c r="C5" s="673"/>
      <c r="D5" s="674"/>
      <c r="E5" s="736" t="s">
        <v>186</v>
      </c>
      <c r="F5" s="736"/>
      <c r="G5" s="736"/>
      <c r="H5" s="736"/>
      <c r="I5" s="736"/>
      <c r="J5" s="736"/>
      <c r="K5" s="708"/>
      <c r="L5" s="709"/>
      <c r="AA5" s="54"/>
      <c r="AC5" s="31"/>
    </row>
    <row r="6" spans="1:37" ht="13.5" thickTop="1" x14ac:dyDescent="0.2">
      <c r="B6" s="675"/>
      <c r="C6" s="675"/>
      <c r="D6" s="676"/>
      <c r="E6" s="670" t="s">
        <v>62</v>
      </c>
      <c r="F6" s="670"/>
      <c r="G6" s="670"/>
      <c r="H6" s="427"/>
      <c r="I6" s="671" t="s">
        <v>63</v>
      </c>
      <c r="J6" s="427"/>
      <c r="K6" s="427"/>
      <c r="L6" s="672"/>
      <c r="O6" s="683" t="s">
        <v>329</v>
      </c>
      <c r="P6" s="683"/>
      <c r="Q6" s="683"/>
      <c r="R6" s="683"/>
      <c r="S6" s="683"/>
      <c r="T6" s="683"/>
      <c r="U6" s="683"/>
      <c r="V6" s="683"/>
      <c r="W6" s="683"/>
      <c r="X6" s="683"/>
      <c r="Y6" s="687"/>
      <c r="Z6" s="687"/>
      <c r="AA6" s="54"/>
      <c r="AC6" s="666" t="s">
        <v>335</v>
      </c>
      <c r="AD6" s="666"/>
      <c r="AE6" s="666"/>
      <c r="AF6" s="666"/>
      <c r="AG6" s="666"/>
    </row>
    <row r="7" spans="1:37" ht="13.5" thickBot="1" x14ac:dyDescent="0.25">
      <c r="B7" s="719" t="s">
        <v>90</v>
      </c>
      <c r="C7" s="438"/>
      <c r="D7" s="133" t="s">
        <v>89</v>
      </c>
      <c r="E7" s="739" t="s">
        <v>39</v>
      </c>
      <c r="F7" s="664" t="s">
        <v>80</v>
      </c>
      <c r="G7" s="664" t="s">
        <v>193</v>
      </c>
      <c r="H7" s="664" t="s">
        <v>194</v>
      </c>
      <c r="I7" s="739" t="s">
        <v>39</v>
      </c>
      <c r="J7" s="664" t="s">
        <v>80</v>
      </c>
      <c r="K7" s="664" t="s">
        <v>193</v>
      </c>
      <c r="L7" s="741" t="s">
        <v>194</v>
      </c>
      <c r="O7" s="667"/>
      <c r="P7" s="667"/>
      <c r="Q7" s="667"/>
      <c r="R7" s="667"/>
      <c r="S7" s="667"/>
      <c r="T7" s="667"/>
      <c r="U7" s="667"/>
      <c r="V7" s="667"/>
      <c r="W7" s="667"/>
      <c r="X7" s="667"/>
      <c r="Y7" s="688"/>
      <c r="Z7" s="688"/>
      <c r="AA7" s="30"/>
      <c r="AC7" s="667"/>
      <c r="AD7" s="667"/>
      <c r="AE7" s="667"/>
      <c r="AF7" s="667"/>
      <c r="AG7" s="667"/>
    </row>
    <row r="8" spans="1:37" x14ac:dyDescent="0.2">
      <c r="B8" s="560"/>
      <c r="C8" s="560"/>
      <c r="D8" s="560"/>
      <c r="E8" s="740"/>
      <c r="F8" s="665"/>
      <c r="G8" s="665"/>
      <c r="H8" s="665"/>
      <c r="I8" s="740"/>
      <c r="J8" s="665"/>
      <c r="K8" s="665"/>
      <c r="L8" s="742"/>
      <c r="O8" s="689" t="s">
        <v>55</v>
      </c>
      <c r="P8" s="691" t="s">
        <v>8</v>
      </c>
      <c r="Q8" s="692"/>
      <c r="R8" s="692"/>
      <c r="S8" s="692"/>
      <c r="T8" s="692"/>
      <c r="U8" s="692"/>
      <c r="V8" s="692"/>
      <c r="W8" s="692"/>
      <c r="X8" s="692"/>
      <c r="Y8" s="530"/>
      <c r="Z8" s="530"/>
      <c r="AA8" s="30"/>
      <c r="AC8" s="666" t="s">
        <v>209</v>
      </c>
      <c r="AD8" s="677"/>
      <c r="AE8" s="695" t="s">
        <v>210</v>
      </c>
      <c r="AF8" s="696"/>
      <c r="AG8" s="696"/>
    </row>
    <row r="9" spans="1:37" x14ac:dyDescent="0.2">
      <c r="B9" s="693" t="s">
        <v>187</v>
      </c>
      <c r="C9" s="694"/>
      <c r="D9" s="694"/>
      <c r="E9" s="81">
        <v>8.9999999999999993E-3</v>
      </c>
      <c r="F9" s="81">
        <v>2.9000000000000001E-2</v>
      </c>
      <c r="G9" s="81">
        <v>4.2999999999999997E-2</v>
      </c>
      <c r="H9" s="3">
        <v>1E-3</v>
      </c>
      <c r="I9" s="125">
        <v>8.9999999999999993E-3</v>
      </c>
      <c r="J9" s="134">
        <v>2.9000000000000001E-2</v>
      </c>
      <c r="K9" s="134">
        <v>4.2999999999999997E-2</v>
      </c>
      <c r="L9" s="125">
        <v>1E-3</v>
      </c>
      <c r="O9" s="690"/>
      <c r="P9" s="20">
        <v>0</v>
      </c>
      <c r="Q9" s="20">
        <v>1</v>
      </c>
      <c r="R9" s="20">
        <v>2</v>
      </c>
      <c r="S9" s="20">
        <v>3</v>
      </c>
      <c r="T9" s="20">
        <v>4</v>
      </c>
      <c r="U9" s="20">
        <v>5</v>
      </c>
      <c r="V9" s="20">
        <v>6</v>
      </c>
      <c r="W9" s="20">
        <v>7</v>
      </c>
      <c r="X9" s="11">
        <v>8</v>
      </c>
      <c r="Y9" s="60">
        <v>9</v>
      </c>
      <c r="Z9" s="17">
        <v>10</v>
      </c>
      <c r="AA9" s="30"/>
      <c r="AC9" s="678"/>
      <c r="AD9" s="679"/>
      <c r="AE9" s="697"/>
      <c r="AF9" s="698"/>
      <c r="AG9" s="698"/>
    </row>
    <row r="10" spans="1:37" x14ac:dyDescent="0.2">
      <c r="B10" s="693" t="s">
        <v>188</v>
      </c>
      <c r="C10" s="694"/>
      <c r="D10" s="694"/>
      <c r="E10" s="3">
        <v>9.8000000000000004E-2</v>
      </c>
      <c r="F10" s="3">
        <v>4.8000000000000001E-2</v>
      </c>
      <c r="G10" s="3">
        <v>4.3999999999999997E-2</v>
      </c>
      <c r="H10" s="3">
        <v>0.12</v>
      </c>
      <c r="I10" s="125">
        <v>9.8000000000000004E-2</v>
      </c>
      <c r="J10" s="125">
        <v>4.8000000000000001E-2</v>
      </c>
      <c r="K10" s="125">
        <v>4.3999999999999997E-2</v>
      </c>
      <c r="L10" s="125">
        <v>0.12</v>
      </c>
      <c r="O10" s="27" t="s">
        <v>67</v>
      </c>
      <c r="P10" s="12">
        <v>1</v>
      </c>
      <c r="Q10" s="12">
        <v>1</v>
      </c>
      <c r="R10" s="12">
        <v>1</v>
      </c>
      <c r="S10" s="12">
        <v>1</v>
      </c>
      <c r="T10" s="12">
        <v>1</v>
      </c>
      <c r="U10" s="12">
        <f>+(T10+V10)/2</f>
        <v>1</v>
      </c>
      <c r="V10" s="12">
        <v>1</v>
      </c>
      <c r="W10" s="12">
        <f>+(V10+X10)/2</f>
        <v>1</v>
      </c>
      <c r="X10" s="13">
        <v>1</v>
      </c>
      <c r="Y10" s="12">
        <f>+(X10+Z10)/2</f>
        <v>1</v>
      </c>
      <c r="Z10" s="13">
        <v>1</v>
      </c>
      <c r="AA10" s="30"/>
      <c r="AC10" s="682">
        <v>0</v>
      </c>
      <c r="AD10" s="447"/>
      <c r="AE10" s="680">
        <v>1.18</v>
      </c>
      <c r="AF10" s="681"/>
      <c r="AG10" s="681"/>
    </row>
    <row r="11" spans="1:37" x14ac:dyDescent="0.2">
      <c r="B11" s="693" t="s">
        <v>189</v>
      </c>
      <c r="C11" s="694"/>
      <c r="D11" s="694"/>
      <c r="E11" s="3">
        <v>0.246</v>
      </c>
      <c r="F11" s="3">
        <v>0.30499999999999999</v>
      </c>
      <c r="G11" s="3">
        <v>0.217</v>
      </c>
      <c r="H11" s="3">
        <v>0.22</v>
      </c>
      <c r="I11" s="125">
        <v>0.246</v>
      </c>
      <c r="J11" s="125">
        <v>0.30499999999999999</v>
      </c>
      <c r="K11" s="125">
        <v>0.217</v>
      </c>
      <c r="L11" s="125">
        <v>0.22</v>
      </c>
      <c r="O11" s="27" t="s">
        <v>68</v>
      </c>
      <c r="P11" s="12">
        <v>1</v>
      </c>
      <c r="Q11" s="12">
        <v>1</v>
      </c>
      <c r="R11" s="12">
        <v>1.01</v>
      </c>
      <c r="S11" s="12">
        <v>1.01</v>
      </c>
      <c r="T11" s="12">
        <v>1.01</v>
      </c>
      <c r="U11" s="12">
        <f>+(T11+V11)/2</f>
        <v>1.0150000000000001</v>
      </c>
      <c r="V11" s="12">
        <v>1.02</v>
      </c>
      <c r="W11" s="12">
        <f>+(V11+X11)/2</f>
        <v>1.02</v>
      </c>
      <c r="X11" s="13">
        <v>1.02</v>
      </c>
      <c r="Y11" s="12">
        <f>+(X11+Z11)/2</f>
        <v>1.0249999999999999</v>
      </c>
      <c r="Z11" s="13">
        <v>1.03</v>
      </c>
      <c r="AA11" s="31"/>
      <c r="AC11" s="447">
        <v>1</v>
      </c>
      <c r="AD11" s="438"/>
      <c r="AE11" s="680">
        <f>+(AE10+AE12)/2</f>
        <v>1.1549999999999998</v>
      </c>
      <c r="AF11" s="681"/>
      <c r="AG11" s="681"/>
    </row>
    <row r="12" spans="1:37" x14ac:dyDescent="0.2">
      <c r="B12" s="693" t="s">
        <v>190</v>
      </c>
      <c r="C12" s="694"/>
      <c r="D12" s="694"/>
      <c r="E12" s="3">
        <v>0.35599999999999998</v>
      </c>
      <c r="F12" s="3">
        <v>0.35199999999999998</v>
      </c>
      <c r="G12" s="3">
        <v>0.34799999999999998</v>
      </c>
      <c r="H12" s="3">
        <v>0.35799999999999998</v>
      </c>
      <c r="I12" s="125">
        <v>0.35599999999999998</v>
      </c>
      <c r="J12" s="125">
        <v>0.35199999999999998</v>
      </c>
      <c r="K12" s="125">
        <v>0.34799999999999998</v>
      </c>
      <c r="L12" s="125">
        <v>0.35799999999999998</v>
      </c>
      <c r="O12" s="27" t="s">
        <v>69</v>
      </c>
      <c r="P12" s="12">
        <v>1</v>
      </c>
      <c r="Q12" s="12">
        <v>1.01</v>
      </c>
      <c r="R12" s="12">
        <v>1.02</v>
      </c>
      <c r="S12" s="12">
        <v>1.02</v>
      </c>
      <c r="T12" s="12">
        <v>1.03</v>
      </c>
      <c r="U12" s="12">
        <f>+(T12+V12)/2</f>
        <v>1.0350000000000001</v>
      </c>
      <c r="V12" s="12">
        <v>1.04</v>
      </c>
      <c r="W12" s="12">
        <f>+(V12+X12)/2</f>
        <v>1.05</v>
      </c>
      <c r="X12" s="13">
        <v>1.06</v>
      </c>
      <c r="Y12" s="82">
        <f>+(X12+Z12)/2</f>
        <v>1.0649999999999999</v>
      </c>
      <c r="Z12" s="83">
        <v>1.07</v>
      </c>
      <c r="AA12" s="31"/>
      <c r="AC12" s="686">
        <v>2</v>
      </c>
      <c r="AD12" s="438"/>
      <c r="AE12" s="680">
        <v>1.1299999999999999</v>
      </c>
      <c r="AF12" s="681"/>
      <c r="AG12" s="681"/>
    </row>
    <row r="13" spans="1:37" ht="13.5" thickBot="1" x14ac:dyDescent="0.25">
      <c r="B13" s="693" t="s">
        <v>191</v>
      </c>
      <c r="C13" s="694"/>
      <c r="D13" s="694"/>
      <c r="E13" s="3">
        <v>0.23799999999999999</v>
      </c>
      <c r="F13" s="3">
        <v>0.23799999999999999</v>
      </c>
      <c r="G13" s="3">
        <v>0.30399999999999999</v>
      </c>
      <c r="H13" s="3">
        <v>0.23699999999999999</v>
      </c>
      <c r="I13" s="125">
        <v>0.23799999999999999</v>
      </c>
      <c r="J13" s="125">
        <v>0.23799999999999999</v>
      </c>
      <c r="K13" s="125">
        <v>0.30399999999999999</v>
      </c>
      <c r="L13" s="125">
        <v>0.23699999999999999</v>
      </c>
      <c r="O13" s="28" t="s">
        <v>70</v>
      </c>
      <c r="P13" s="14">
        <v>1</v>
      </c>
      <c r="Q13" s="14">
        <v>1.01</v>
      </c>
      <c r="R13" s="14">
        <v>1.03</v>
      </c>
      <c r="S13" s="14">
        <v>1.04</v>
      </c>
      <c r="T13" s="14">
        <v>1.05</v>
      </c>
      <c r="U13" s="12">
        <f>+(T13+V13)/2</f>
        <v>1.0649999999999999</v>
      </c>
      <c r="V13" s="14">
        <v>1.08</v>
      </c>
      <c r="W13" s="12">
        <f>+(V13+X13)/2</f>
        <v>1.0950000000000002</v>
      </c>
      <c r="X13" s="15">
        <v>1.1100000000000001</v>
      </c>
      <c r="Y13" s="14">
        <f>+(X13+Z13)/2</f>
        <v>1.125</v>
      </c>
      <c r="Z13" s="15">
        <v>1.1399999999999999</v>
      </c>
      <c r="AA13" s="31"/>
      <c r="AC13" s="447">
        <v>3</v>
      </c>
      <c r="AD13" s="438"/>
      <c r="AE13" s="680">
        <f>+(AE12+AE14)/2</f>
        <v>1.1099999999999999</v>
      </c>
      <c r="AF13" s="681"/>
      <c r="AG13" s="681"/>
      <c r="AH13" s="31"/>
      <c r="AI13" s="31"/>
      <c r="AJ13" s="31"/>
      <c r="AK13" s="31"/>
    </row>
    <row r="14" spans="1:37" ht="13.5" thickBot="1" x14ac:dyDescent="0.25">
      <c r="B14" s="737" t="s">
        <v>192</v>
      </c>
      <c r="C14" s="738"/>
      <c r="D14" s="738"/>
      <c r="E14" s="61">
        <v>5.2999999999999999E-2</v>
      </c>
      <c r="F14" s="61">
        <v>2.8000000000000001E-2</v>
      </c>
      <c r="G14" s="61">
        <v>4.3999999999999997E-2</v>
      </c>
      <c r="H14" s="61">
        <v>6.4000000000000001E-2</v>
      </c>
      <c r="I14" s="135">
        <v>5.2999999999999999E-2</v>
      </c>
      <c r="J14" s="135">
        <v>2.8000000000000001E-2</v>
      </c>
      <c r="K14" s="135">
        <v>4.3999999999999997E-2</v>
      </c>
      <c r="L14" s="135">
        <v>6.4000000000000001E-2</v>
      </c>
      <c r="M14" s="22"/>
      <c r="O14" s="733" t="s">
        <v>86</v>
      </c>
      <c r="P14" s="734"/>
      <c r="Q14" s="734"/>
      <c r="R14" s="734"/>
      <c r="S14" s="734"/>
      <c r="T14" s="734"/>
      <c r="U14" s="734"/>
      <c r="V14" s="734"/>
      <c r="W14" s="734"/>
      <c r="X14" s="734"/>
      <c r="Y14" s="734"/>
      <c r="Z14" s="734"/>
      <c r="AA14" s="31"/>
      <c r="AC14" s="686">
        <v>4</v>
      </c>
      <c r="AD14" s="438"/>
      <c r="AE14" s="680">
        <v>1.0900000000000001</v>
      </c>
      <c r="AF14" s="681"/>
      <c r="AG14" s="681"/>
    </row>
    <row r="15" spans="1:37" ht="14.25" thickTop="1" thickBot="1" x14ac:dyDescent="0.25">
      <c r="A15" s="31"/>
      <c r="B15" s="668" t="s">
        <v>212</v>
      </c>
      <c r="C15" s="669"/>
      <c r="D15" s="669"/>
      <c r="E15" s="101">
        <v>0.27</v>
      </c>
      <c r="F15" s="101"/>
      <c r="G15" s="101"/>
      <c r="H15" s="101"/>
      <c r="I15" s="129">
        <v>0.33</v>
      </c>
      <c r="J15" s="129"/>
      <c r="K15" s="129"/>
      <c r="L15" s="130"/>
      <c r="M15" s="73"/>
      <c r="O15" s="735"/>
      <c r="P15" s="735"/>
      <c r="Q15" s="735"/>
      <c r="R15" s="735"/>
      <c r="S15" s="735"/>
      <c r="T15" s="735"/>
      <c r="U15" s="735"/>
      <c r="V15" s="735"/>
      <c r="W15" s="735"/>
      <c r="X15" s="735"/>
      <c r="Y15" s="735"/>
      <c r="Z15" s="735"/>
      <c r="AA15" s="31"/>
      <c r="AC15" s="447">
        <v>5</v>
      </c>
      <c r="AD15" s="438"/>
      <c r="AE15" s="680">
        <f>+(AE14+AE16)/2</f>
        <v>1.0649999999999999</v>
      </c>
      <c r="AF15" s="681"/>
      <c r="AG15" s="681"/>
    </row>
    <row r="16" spans="1:37" x14ac:dyDescent="0.2">
      <c r="A16" s="31"/>
      <c r="B16" s="497" t="s">
        <v>155</v>
      </c>
      <c r="C16" s="498"/>
      <c r="D16" s="498"/>
      <c r="E16" s="498"/>
      <c r="F16" s="498"/>
      <c r="G16" s="498"/>
      <c r="H16" s="498"/>
      <c r="I16" s="498"/>
      <c r="J16" s="498"/>
      <c r="K16" s="498"/>
      <c r="L16" s="498"/>
      <c r="M16" s="31"/>
      <c r="U16" s="31"/>
      <c r="AA16" s="31"/>
      <c r="AC16" s="686">
        <v>6</v>
      </c>
      <c r="AD16" s="438"/>
      <c r="AE16" s="680">
        <v>1.04</v>
      </c>
      <c r="AF16" s="681"/>
      <c r="AG16" s="681"/>
    </row>
    <row r="17" spans="1:37" x14ac:dyDescent="0.2">
      <c r="A17" s="31"/>
      <c r="M17" s="31"/>
      <c r="U17" s="31"/>
      <c r="AA17" s="31"/>
      <c r="AC17" s="447">
        <v>7</v>
      </c>
      <c r="AD17" s="438"/>
      <c r="AE17" s="680">
        <f>+(AE16+AE18)/2</f>
        <v>1.02</v>
      </c>
      <c r="AF17" s="681"/>
      <c r="AG17" s="681"/>
    </row>
    <row r="18" spans="1:37" x14ac:dyDescent="0.2">
      <c r="A18" s="31"/>
      <c r="M18" s="31"/>
      <c r="U18" s="31"/>
      <c r="AA18" s="31"/>
      <c r="AC18" s="686">
        <v>8</v>
      </c>
      <c r="AD18" s="438"/>
      <c r="AE18" s="727">
        <v>1</v>
      </c>
      <c r="AF18" s="438"/>
      <c r="AG18" s="480"/>
    </row>
    <row r="19" spans="1:37" ht="13.5" thickBot="1" x14ac:dyDescent="0.25">
      <c r="A19" s="31"/>
      <c r="M19" s="31"/>
      <c r="AC19" s="713">
        <v>9</v>
      </c>
      <c r="AD19" s="354"/>
      <c r="AE19" s="727">
        <v>1</v>
      </c>
      <c r="AF19" s="438"/>
      <c r="AG19" s="480"/>
    </row>
    <row r="20" spans="1:37" ht="14.25" thickTop="1" thickBot="1" x14ac:dyDescent="0.25">
      <c r="A20" s="31"/>
      <c r="B20" s="683" t="s">
        <v>325</v>
      </c>
      <c r="C20" s="683"/>
      <c r="D20" s="683"/>
      <c r="E20" s="683"/>
      <c r="F20" s="683"/>
      <c r="G20" s="683"/>
      <c r="H20" s="683"/>
      <c r="I20" s="683"/>
      <c r="J20" s="683"/>
      <c r="K20" s="687"/>
      <c r="L20" s="687"/>
      <c r="M20" s="31"/>
      <c r="O20" s="683" t="s">
        <v>330</v>
      </c>
      <c r="P20" s="684"/>
      <c r="Q20" s="684"/>
      <c r="R20" s="684"/>
      <c r="S20" s="684"/>
      <c r="T20" s="684"/>
      <c r="AC20" s="714">
        <v>10</v>
      </c>
      <c r="AD20" s="715"/>
      <c r="AE20" s="729">
        <v>1</v>
      </c>
      <c r="AF20" s="711"/>
      <c r="AG20" s="730"/>
    </row>
    <row r="21" spans="1:37" ht="13.5" thickBot="1" x14ac:dyDescent="0.25">
      <c r="A21" s="31"/>
      <c r="B21" s="667"/>
      <c r="C21" s="667"/>
      <c r="D21" s="667"/>
      <c r="E21" s="667"/>
      <c r="F21" s="667"/>
      <c r="G21" s="667"/>
      <c r="H21" s="667"/>
      <c r="I21" s="667"/>
      <c r="J21" s="667"/>
      <c r="K21" s="688"/>
      <c r="L21" s="688"/>
      <c r="M21" s="31"/>
      <c r="O21" s="685"/>
      <c r="P21" s="685"/>
      <c r="Q21" s="685"/>
      <c r="R21" s="685"/>
      <c r="S21" s="685"/>
      <c r="T21" s="685"/>
    </row>
    <row r="22" spans="1:37" x14ac:dyDescent="0.2">
      <c r="A22" s="31"/>
      <c r="B22" s="673" t="s">
        <v>64</v>
      </c>
      <c r="C22" s="673"/>
      <c r="D22" s="674"/>
      <c r="E22" s="736" t="s">
        <v>186</v>
      </c>
      <c r="F22" s="736"/>
      <c r="G22" s="736"/>
      <c r="H22" s="736"/>
      <c r="I22" s="736"/>
      <c r="J22" s="736"/>
      <c r="K22" s="708"/>
      <c r="L22" s="709"/>
      <c r="M22" s="31"/>
      <c r="O22" s="144" t="s">
        <v>197</v>
      </c>
      <c r="P22" s="122" t="s">
        <v>308</v>
      </c>
      <c r="Q22" s="122" t="s">
        <v>198</v>
      </c>
      <c r="R22" s="122" t="s">
        <v>199</v>
      </c>
      <c r="S22" s="122" t="s">
        <v>200</v>
      </c>
      <c r="T22" s="145" t="s">
        <v>201</v>
      </c>
    </row>
    <row r="23" spans="1:37" x14ac:dyDescent="0.2">
      <c r="A23" s="31"/>
      <c r="B23" s="675"/>
      <c r="C23" s="675"/>
      <c r="D23" s="676"/>
      <c r="E23" s="670" t="s">
        <v>62</v>
      </c>
      <c r="F23" s="670"/>
      <c r="G23" s="670"/>
      <c r="H23" s="427"/>
      <c r="I23" s="671" t="s">
        <v>63</v>
      </c>
      <c r="J23" s="427"/>
      <c r="K23" s="427"/>
      <c r="L23" s="672"/>
      <c r="M23" s="31"/>
      <c r="O23" s="146">
        <v>1.18</v>
      </c>
      <c r="P23" s="12">
        <v>1.1499999999999999</v>
      </c>
      <c r="Q23" s="12">
        <v>1.1200000000000001</v>
      </c>
      <c r="R23" s="12">
        <v>1.0900000000000001</v>
      </c>
      <c r="S23" s="12">
        <v>1.05</v>
      </c>
      <c r="T23" s="13">
        <v>1</v>
      </c>
    </row>
    <row r="24" spans="1:37" ht="13.5" thickBot="1" x14ac:dyDescent="0.25">
      <c r="A24" s="31"/>
      <c r="B24" s="719" t="s">
        <v>90</v>
      </c>
      <c r="C24" s="438"/>
      <c r="D24" s="123" t="s">
        <v>89</v>
      </c>
      <c r="E24" s="739" t="s">
        <v>39</v>
      </c>
      <c r="F24" s="664" t="s">
        <v>80</v>
      </c>
      <c r="G24" s="664" t="s">
        <v>193</v>
      </c>
      <c r="H24" s="664" t="s">
        <v>194</v>
      </c>
      <c r="I24" s="739" t="s">
        <v>39</v>
      </c>
      <c r="J24" s="664" t="s">
        <v>80</v>
      </c>
      <c r="K24" s="664" t="s">
        <v>193</v>
      </c>
      <c r="L24" s="741" t="s">
        <v>194</v>
      </c>
      <c r="M24" s="31"/>
    </row>
    <row r="25" spans="1:37" ht="13.5" thickTop="1" x14ac:dyDescent="0.2">
      <c r="A25" s="31"/>
      <c r="B25" s="560"/>
      <c r="C25" s="560"/>
      <c r="D25" s="560"/>
      <c r="E25" s="740"/>
      <c r="F25" s="665"/>
      <c r="G25" s="665"/>
      <c r="H25" s="665"/>
      <c r="I25" s="740"/>
      <c r="J25" s="665"/>
      <c r="K25" s="665"/>
      <c r="L25" s="742"/>
      <c r="M25" s="31"/>
      <c r="AC25" s="721" t="s">
        <v>337</v>
      </c>
      <c r="AD25" s="687"/>
      <c r="AE25" s="687"/>
      <c r="AF25" s="687"/>
    </row>
    <row r="26" spans="1:37" x14ac:dyDescent="0.2">
      <c r="A26" s="31"/>
      <c r="B26" s="693" t="s">
        <v>187</v>
      </c>
      <c r="C26" s="694"/>
      <c r="D26" s="694"/>
      <c r="E26" s="81">
        <v>6.0000000000000001E-3</v>
      </c>
      <c r="F26" s="81">
        <v>1.2999999999999999E-2</v>
      </c>
      <c r="G26" s="81">
        <v>1.7999999999999999E-2</v>
      </c>
      <c r="H26" s="3">
        <v>2E-3</v>
      </c>
      <c r="I26" s="125"/>
      <c r="J26" s="125"/>
      <c r="K26" s="125"/>
      <c r="L26" s="126"/>
      <c r="M26" s="31"/>
      <c r="AC26" s="722"/>
      <c r="AD26" s="722"/>
      <c r="AE26" s="722"/>
      <c r="AF26" s="722"/>
    </row>
    <row r="27" spans="1:37" ht="13.5" thickBot="1" x14ac:dyDescent="0.25">
      <c r="A27" s="31"/>
      <c r="B27" s="693" t="s">
        <v>188</v>
      </c>
      <c r="C27" s="694"/>
      <c r="D27" s="694"/>
      <c r="E27" s="3">
        <v>4.2999999999999997E-2</v>
      </c>
      <c r="F27" s="3">
        <v>2.7E-2</v>
      </c>
      <c r="G27" s="3">
        <v>2.1999999999999999E-2</v>
      </c>
      <c r="H27" s="3">
        <v>5.2999999999999999E-2</v>
      </c>
      <c r="I27" s="125"/>
      <c r="J27" s="125"/>
      <c r="K27" s="125"/>
      <c r="L27" s="126"/>
      <c r="M27" s="31"/>
      <c r="AC27" s="688"/>
      <c r="AD27" s="688"/>
      <c r="AE27" s="688"/>
      <c r="AF27" s="688"/>
    </row>
    <row r="28" spans="1:37" ht="13.5" thickBot="1" x14ac:dyDescent="0.25">
      <c r="A28" s="31"/>
      <c r="B28" s="693" t="s">
        <v>189</v>
      </c>
      <c r="C28" s="694"/>
      <c r="D28" s="694"/>
      <c r="E28" s="3">
        <v>0.11600000000000001</v>
      </c>
      <c r="F28" s="3">
        <v>0.16300000000000001</v>
      </c>
      <c r="G28" s="3">
        <v>0.114</v>
      </c>
      <c r="H28" s="3">
        <v>8.7999999999999995E-2</v>
      </c>
      <c r="I28" s="125"/>
      <c r="J28" s="125"/>
      <c r="K28" s="125"/>
      <c r="L28" s="126"/>
      <c r="M28" s="31"/>
      <c r="O28" s="31"/>
      <c r="AC28" s="692" t="s">
        <v>292</v>
      </c>
      <c r="AD28" s="692"/>
      <c r="AE28" s="692" t="s">
        <v>210</v>
      </c>
      <c r="AF28" s="692"/>
    </row>
    <row r="29" spans="1:37" x14ac:dyDescent="0.2">
      <c r="A29" s="31"/>
      <c r="B29" s="693" t="s">
        <v>190</v>
      </c>
      <c r="C29" s="694"/>
      <c r="D29" s="694"/>
      <c r="E29" s="3">
        <v>4.2999999999999997E-2</v>
      </c>
      <c r="F29" s="3">
        <v>4.8000000000000001E-2</v>
      </c>
      <c r="G29" s="3">
        <v>4.4999999999999998E-2</v>
      </c>
      <c r="H29" s="3">
        <v>4.1000000000000002E-2</v>
      </c>
      <c r="I29" s="125"/>
      <c r="J29" s="125"/>
      <c r="K29" s="125"/>
      <c r="L29" s="126"/>
      <c r="M29" s="31"/>
      <c r="AC29" s="723">
        <v>10</v>
      </c>
      <c r="AD29" s="603"/>
      <c r="AE29" s="728">
        <v>1.04</v>
      </c>
      <c r="AF29" s="605"/>
      <c r="AH29" s="100"/>
      <c r="AI29" s="31"/>
      <c r="AJ29" s="31"/>
      <c r="AK29" s="31"/>
    </row>
    <row r="30" spans="1:37" x14ac:dyDescent="0.2">
      <c r="A30" s="31"/>
      <c r="B30" s="693" t="s">
        <v>191</v>
      </c>
      <c r="C30" s="694"/>
      <c r="D30" s="694"/>
      <c r="E30" s="3">
        <v>0.76800000000000002</v>
      </c>
      <c r="F30" s="3">
        <v>0.72699999999999998</v>
      </c>
      <c r="G30" s="3">
        <v>0.77800000000000002</v>
      </c>
      <c r="H30" s="3">
        <v>0.79200000000000004</v>
      </c>
      <c r="I30" s="125"/>
      <c r="J30" s="125"/>
      <c r="K30" s="125"/>
      <c r="L30" s="126"/>
      <c r="M30" s="31"/>
      <c r="AC30" s="720">
        <v>20</v>
      </c>
      <c r="AD30" s="438"/>
      <c r="AE30" s="546">
        <v>1.02</v>
      </c>
      <c r="AF30" s="726"/>
    </row>
    <row r="31" spans="1:37" ht="13.5" thickBot="1" x14ac:dyDescent="0.25">
      <c r="A31" s="31"/>
      <c r="B31" s="731" t="s">
        <v>192</v>
      </c>
      <c r="C31" s="732"/>
      <c r="D31" s="732"/>
      <c r="E31" s="62">
        <v>2.4E-2</v>
      </c>
      <c r="F31" s="62">
        <v>2.1999999999999999E-2</v>
      </c>
      <c r="G31" s="62">
        <v>2.3E-2</v>
      </c>
      <c r="H31" s="62">
        <v>2.4E-2</v>
      </c>
      <c r="I31" s="127"/>
      <c r="J31" s="127"/>
      <c r="K31" s="127"/>
      <c r="L31" s="128"/>
      <c r="M31" s="31"/>
      <c r="AC31" s="720">
        <v>30</v>
      </c>
      <c r="AD31" s="438"/>
      <c r="AE31" s="546">
        <v>1</v>
      </c>
      <c r="AF31" s="726"/>
    </row>
    <row r="32" spans="1:37" ht="14.25" thickTop="1" thickBot="1" x14ac:dyDescent="0.25">
      <c r="A32" s="31"/>
      <c r="B32" s="668" t="s">
        <v>212</v>
      </c>
      <c r="C32" s="669"/>
      <c r="D32" s="669"/>
      <c r="E32" s="101">
        <v>0.5</v>
      </c>
      <c r="F32" s="101"/>
      <c r="G32" s="101"/>
      <c r="H32" s="101"/>
      <c r="I32" s="129">
        <v>0.33</v>
      </c>
      <c r="J32" s="129"/>
      <c r="K32" s="129"/>
      <c r="L32" s="130"/>
      <c r="M32" s="31"/>
      <c r="AC32" s="720">
        <v>40</v>
      </c>
      <c r="AD32" s="438"/>
      <c r="AE32" s="546">
        <v>0.99</v>
      </c>
      <c r="AF32" s="726"/>
    </row>
    <row r="33" spans="1:32" x14ac:dyDescent="0.2">
      <c r="A33" s="31"/>
      <c r="B33" s="497" t="s">
        <v>155</v>
      </c>
      <c r="C33" s="498"/>
      <c r="D33" s="498"/>
      <c r="E33" s="498"/>
      <c r="F33" s="498"/>
      <c r="G33" s="498"/>
      <c r="H33" s="498"/>
      <c r="I33" s="498"/>
      <c r="J33" s="498"/>
      <c r="K33" s="498"/>
      <c r="L33" s="498"/>
      <c r="M33" s="31"/>
      <c r="AC33" s="720">
        <v>50</v>
      </c>
      <c r="AD33" s="438"/>
      <c r="AE33" s="546">
        <v>0.97</v>
      </c>
      <c r="AF33" s="726"/>
    </row>
    <row r="34" spans="1:32" x14ac:dyDescent="0.2">
      <c r="A34" s="31"/>
      <c r="B34" s="75"/>
      <c r="C34" s="31"/>
      <c r="D34" s="31"/>
      <c r="E34" s="25"/>
      <c r="F34" s="25"/>
      <c r="G34" s="25"/>
      <c r="H34" s="25"/>
      <c r="I34" s="10"/>
      <c r="J34" s="10"/>
      <c r="K34" s="10"/>
      <c r="L34" s="10"/>
      <c r="M34" s="31"/>
      <c r="AC34" s="720">
        <v>60</v>
      </c>
      <c r="AD34" s="427"/>
      <c r="AE34" s="546">
        <v>0.96</v>
      </c>
      <c r="AF34" s="672"/>
    </row>
    <row r="35" spans="1:32" x14ac:dyDescent="0.2">
      <c r="A35" s="31"/>
      <c r="B35" s="75"/>
      <c r="C35" s="31"/>
      <c r="D35" s="31"/>
      <c r="E35" s="25"/>
      <c r="F35" s="10"/>
      <c r="G35" s="25"/>
      <c r="H35" s="25"/>
      <c r="I35" s="10"/>
      <c r="J35" s="10"/>
      <c r="K35" s="10"/>
      <c r="L35" s="10"/>
      <c r="M35" s="31"/>
      <c r="AC35" s="720">
        <v>70</v>
      </c>
      <c r="AD35" s="427"/>
      <c r="AE35" s="546">
        <v>0.96</v>
      </c>
      <c r="AF35" s="672"/>
    </row>
    <row r="36" spans="1:32" ht="13.5" thickBot="1" x14ac:dyDescent="0.25">
      <c r="AC36" s="720">
        <v>80</v>
      </c>
      <c r="AD36" s="427"/>
      <c r="AE36" s="546">
        <v>0.95</v>
      </c>
      <c r="AF36" s="672"/>
    </row>
    <row r="37" spans="1:32" ht="13.5" thickTop="1" x14ac:dyDescent="0.2">
      <c r="B37" s="683" t="s">
        <v>332</v>
      </c>
      <c r="C37" s="683"/>
      <c r="D37" s="683"/>
      <c r="E37" s="683"/>
      <c r="F37" s="683"/>
      <c r="G37" s="683"/>
      <c r="H37" s="683"/>
      <c r="I37" s="683"/>
      <c r="J37" s="683"/>
      <c r="K37" s="687"/>
      <c r="L37" s="687"/>
      <c r="AC37" s="720">
        <v>90</v>
      </c>
      <c r="AD37" s="427"/>
      <c r="AE37" s="546">
        <v>0.94</v>
      </c>
      <c r="AF37" s="672"/>
    </row>
    <row r="38" spans="1:32" ht="13.5" thickBot="1" x14ac:dyDescent="0.25">
      <c r="B38" s="667"/>
      <c r="C38" s="667"/>
      <c r="D38" s="667"/>
      <c r="E38" s="667"/>
      <c r="F38" s="667"/>
      <c r="G38" s="667"/>
      <c r="H38" s="667"/>
      <c r="I38" s="667"/>
      <c r="J38" s="667"/>
      <c r="K38" s="688"/>
      <c r="L38" s="688"/>
      <c r="AC38" s="716">
        <v>100</v>
      </c>
      <c r="AD38" s="515"/>
      <c r="AE38" s="724">
        <v>0.94</v>
      </c>
      <c r="AF38" s="725"/>
    </row>
    <row r="39" spans="1:32" x14ac:dyDescent="0.2">
      <c r="B39" s="704" t="s">
        <v>85</v>
      </c>
      <c r="C39" s="705"/>
      <c r="D39" s="705"/>
      <c r="E39" s="706" t="s">
        <v>62</v>
      </c>
      <c r="F39" s="706"/>
      <c r="G39" s="706"/>
      <c r="H39" s="706"/>
      <c r="I39" s="707" t="s">
        <v>63</v>
      </c>
      <c r="J39" s="708"/>
      <c r="K39" s="708"/>
      <c r="L39" s="709"/>
      <c r="AC39" s="100"/>
      <c r="AD39" s="31"/>
      <c r="AE39" s="31"/>
      <c r="AF39" s="30"/>
    </row>
    <row r="40" spans="1:32" x14ac:dyDescent="0.2">
      <c r="B40" s="631"/>
      <c r="C40" s="630"/>
      <c r="D40" s="630"/>
      <c r="E40" s="651" t="s">
        <v>202</v>
      </c>
      <c r="F40" s="703"/>
      <c r="G40" s="651" t="s">
        <v>84</v>
      </c>
      <c r="H40" s="653"/>
      <c r="I40" s="651" t="s">
        <v>202</v>
      </c>
      <c r="J40" s="703"/>
      <c r="K40" s="651" t="s">
        <v>84</v>
      </c>
      <c r="L40" s="717"/>
      <c r="AC40" s="33"/>
    </row>
    <row r="41" spans="1:32" x14ac:dyDescent="0.2">
      <c r="B41" s="719" t="s">
        <v>90</v>
      </c>
      <c r="C41" s="438"/>
      <c r="D41" s="124" t="s">
        <v>89</v>
      </c>
      <c r="E41" s="703"/>
      <c r="F41" s="703"/>
      <c r="G41" s="653"/>
      <c r="H41" s="653"/>
      <c r="I41" s="703"/>
      <c r="J41" s="703"/>
      <c r="K41" s="653"/>
      <c r="L41" s="717"/>
    </row>
    <row r="42" spans="1:32" x14ac:dyDescent="0.2">
      <c r="B42" s="718"/>
      <c r="C42" s="427"/>
      <c r="D42" s="427"/>
      <c r="E42" s="653"/>
      <c r="F42" s="653"/>
      <c r="G42" s="653"/>
      <c r="H42" s="653"/>
      <c r="I42" s="653"/>
      <c r="J42" s="653"/>
      <c r="K42" s="653"/>
      <c r="L42" s="717"/>
    </row>
    <row r="43" spans="1:32" x14ac:dyDescent="0.2">
      <c r="B43" s="426"/>
      <c r="C43" s="427"/>
      <c r="D43" s="427"/>
      <c r="E43" s="699" t="s">
        <v>203</v>
      </c>
      <c r="F43" s="699" t="s">
        <v>204</v>
      </c>
      <c r="G43" s="648" t="s">
        <v>205</v>
      </c>
      <c r="H43" s="627"/>
      <c r="I43" s="699" t="s">
        <v>203</v>
      </c>
      <c r="J43" s="699" t="s">
        <v>204</v>
      </c>
      <c r="K43" s="648" t="s">
        <v>205</v>
      </c>
      <c r="L43" s="700"/>
    </row>
    <row r="44" spans="1:32" x14ac:dyDescent="0.2">
      <c r="B44" s="426"/>
      <c r="C44" s="427"/>
      <c r="D44" s="427"/>
      <c r="E44" s="627"/>
      <c r="F44" s="627"/>
      <c r="G44" s="627"/>
      <c r="H44" s="627"/>
      <c r="I44" s="627"/>
      <c r="J44" s="627"/>
      <c r="K44" s="627"/>
      <c r="L44" s="700"/>
    </row>
    <row r="45" spans="1:32" ht="13.5" thickBot="1" x14ac:dyDescent="0.25">
      <c r="B45" s="710" t="s">
        <v>206</v>
      </c>
      <c r="C45" s="711"/>
      <c r="D45" s="711"/>
      <c r="E45" s="96">
        <v>0.36099999999999999</v>
      </c>
      <c r="F45" s="96">
        <v>0.63900000000000001</v>
      </c>
      <c r="G45" s="712">
        <v>0.255</v>
      </c>
      <c r="H45" s="711"/>
      <c r="I45" s="127"/>
      <c r="J45" s="127"/>
      <c r="K45" s="701"/>
      <c r="L45" s="702"/>
    </row>
    <row r="46" spans="1:32" x14ac:dyDescent="0.2">
      <c r="B46" s="85"/>
      <c r="C46" s="86"/>
      <c r="D46" s="86"/>
      <c r="E46" s="87"/>
      <c r="F46" s="42"/>
      <c r="G46" s="42"/>
      <c r="H46" s="42"/>
      <c r="I46" s="42"/>
      <c r="J46" s="42"/>
      <c r="K46" s="42"/>
      <c r="L46" s="42"/>
    </row>
    <row r="47" spans="1:32" x14ac:dyDescent="0.2">
      <c r="B47" s="85"/>
      <c r="C47" s="86"/>
      <c r="D47" s="86"/>
      <c r="G47" s="42"/>
      <c r="H47" s="42"/>
      <c r="I47" s="42"/>
      <c r="J47" s="42"/>
      <c r="K47" s="42"/>
      <c r="L47" s="42"/>
    </row>
    <row r="48" spans="1:32" ht="13.5" thickBot="1" x14ac:dyDescent="0.25"/>
    <row r="49" spans="2:26" ht="13.5" thickTop="1" x14ac:dyDescent="0.2">
      <c r="B49" s="683" t="s">
        <v>339</v>
      </c>
      <c r="C49" s="683"/>
      <c r="D49" s="683"/>
      <c r="E49" s="683"/>
      <c r="F49" s="683"/>
      <c r="G49" s="683"/>
      <c r="H49" s="683"/>
      <c r="I49" s="683"/>
      <c r="J49" s="683"/>
      <c r="K49" s="687"/>
      <c r="L49" s="687"/>
    </row>
    <row r="50" spans="2:26" ht="13.5" thickBot="1" x14ac:dyDescent="0.25">
      <c r="B50" s="667"/>
      <c r="C50" s="667"/>
      <c r="D50" s="667"/>
      <c r="E50" s="667"/>
      <c r="F50" s="667"/>
      <c r="G50" s="667"/>
      <c r="H50" s="667"/>
      <c r="I50" s="667"/>
      <c r="J50" s="667"/>
      <c r="K50" s="688"/>
      <c r="L50" s="688"/>
    </row>
    <row r="51" spans="2:26" x14ac:dyDescent="0.2">
      <c r="B51" s="704" t="s">
        <v>85</v>
      </c>
      <c r="C51" s="705"/>
      <c r="D51" s="705"/>
      <c r="E51" s="706" t="s">
        <v>62</v>
      </c>
      <c r="F51" s="706"/>
      <c r="G51" s="706"/>
      <c r="H51" s="706"/>
      <c r="I51" s="707" t="s">
        <v>63</v>
      </c>
      <c r="J51" s="708"/>
      <c r="K51" s="708"/>
      <c r="L51" s="709"/>
      <c r="U51" s="22"/>
      <c r="V51" s="22"/>
      <c r="W51" s="22"/>
      <c r="X51" s="22"/>
      <c r="Y51" s="22"/>
      <c r="Z51" s="22"/>
    </row>
    <row r="52" spans="2:26" x14ac:dyDescent="0.2">
      <c r="B52" s="631"/>
      <c r="C52" s="630"/>
      <c r="D52" s="630"/>
      <c r="E52" s="651" t="s">
        <v>202</v>
      </c>
      <c r="F52" s="703"/>
      <c r="G52" s="651" t="s">
        <v>84</v>
      </c>
      <c r="H52" s="653"/>
      <c r="I52" s="651" t="s">
        <v>202</v>
      </c>
      <c r="J52" s="703"/>
      <c r="K52" s="651" t="s">
        <v>84</v>
      </c>
      <c r="L52" s="717"/>
      <c r="U52" s="143"/>
      <c r="V52" s="143"/>
      <c r="W52" s="143"/>
      <c r="X52" s="143"/>
      <c r="Y52" s="16"/>
      <c r="Z52" s="16"/>
    </row>
    <row r="53" spans="2:26" x14ac:dyDescent="0.2">
      <c r="B53" s="719" t="s">
        <v>90</v>
      </c>
      <c r="C53" s="438"/>
      <c r="D53" s="124" t="s">
        <v>89</v>
      </c>
      <c r="E53" s="703"/>
      <c r="F53" s="703"/>
      <c r="G53" s="653"/>
      <c r="H53" s="653"/>
      <c r="I53" s="703"/>
      <c r="J53" s="703"/>
      <c r="K53" s="653"/>
      <c r="L53" s="717"/>
      <c r="U53" s="143"/>
      <c r="V53" s="143"/>
      <c r="W53" s="143"/>
      <c r="X53" s="143"/>
      <c r="Y53" s="16"/>
      <c r="Z53" s="16"/>
    </row>
    <row r="54" spans="2:26" x14ac:dyDescent="0.2">
      <c r="B54" s="718"/>
      <c r="C54" s="427"/>
      <c r="D54" s="427"/>
      <c r="E54" s="653"/>
      <c r="F54" s="653"/>
      <c r="G54" s="653"/>
      <c r="H54" s="653"/>
      <c r="I54" s="653"/>
      <c r="J54" s="653"/>
      <c r="K54" s="653"/>
      <c r="L54" s="717"/>
      <c r="U54" s="22"/>
      <c r="V54" s="22"/>
      <c r="W54" s="22"/>
      <c r="X54" s="22"/>
      <c r="Y54" s="22"/>
      <c r="Z54" s="22"/>
    </row>
    <row r="55" spans="2:26" x14ac:dyDescent="0.2">
      <c r="B55" s="426"/>
      <c r="C55" s="427"/>
      <c r="D55" s="427"/>
      <c r="E55" s="699" t="s">
        <v>203</v>
      </c>
      <c r="F55" s="699" t="s">
        <v>204</v>
      </c>
      <c r="G55" s="648" t="s">
        <v>205</v>
      </c>
      <c r="H55" s="627"/>
      <c r="I55" s="699" t="s">
        <v>203</v>
      </c>
      <c r="J55" s="699" t="s">
        <v>204</v>
      </c>
      <c r="K55" s="648" t="s">
        <v>205</v>
      </c>
      <c r="L55" s="700"/>
      <c r="M55" s="22"/>
    </row>
    <row r="56" spans="2:26" x14ac:dyDescent="0.2">
      <c r="B56" s="426"/>
      <c r="C56" s="427"/>
      <c r="D56" s="427"/>
      <c r="E56" s="627"/>
      <c r="F56" s="627"/>
      <c r="G56" s="627"/>
      <c r="H56" s="627"/>
      <c r="I56" s="627"/>
      <c r="J56" s="627"/>
      <c r="K56" s="627"/>
      <c r="L56" s="700"/>
      <c r="M56" s="73"/>
    </row>
    <row r="57" spans="2:26" ht="13.5" thickBot="1" x14ac:dyDescent="0.25">
      <c r="B57" s="710" t="s">
        <v>211</v>
      </c>
      <c r="C57" s="711"/>
      <c r="D57" s="711"/>
      <c r="E57" s="96">
        <v>0.32300000000000001</v>
      </c>
      <c r="F57" s="96">
        <v>0.67700000000000005</v>
      </c>
      <c r="G57" s="712">
        <v>0.42599999999999999</v>
      </c>
      <c r="H57" s="711"/>
      <c r="I57" s="127"/>
      <c r="J57" s="127"/>
      <c r="K57" s="701"/>
      <c r="L57" s="702"/>
      <c r="M57" s="31"/>
    </row>
    <row r="58" spans="2:26" x14ac:dyDescent="0.2">
      <c r="B58" s="25"/>
      <c r="C58" s="25"/>
      <c r="D58" s="25"/>
      <c r="E58" s="25"/>
      <c r="F58" s="25"/>
      <c r="G58" s="25"/>
      <c r="H58" s="25"/>
      <c r="I58" s="25"/>
      <c r="J58" s="25"/>
      <c r="K58" s="25"/>
      <c r="L58" s="25"/>
      <c r="M58" s="31"/>
    </row>
    <row r="59" spans="2:26" x14ac:dyDescent="0.2">
      <c r="M59" s="31"/>
    </row>
    <row r="60" spans="2:26" x14ac:dyDescent="0.2">
      <c r="M60" s="31"/>
    </row>
    <row r="61" spans="2:26" x14ac:dyDescent="0.2">
      <c r="M61" s="31"/>
    </row>
    <row r="62" spans="2:26" x14ac:dyDescent="0.2">
      <c r="M62" s="31"/>
    </row>
    <row r="63" spans="2:26" x14ac:dyDescent="0.2">
      <c r="M63" s="31"/>
    </row>
    <row r="64" spans="2:26" x14ac:dyDescent="0.2">
      <c r="M64" s="31"/>
    </row>
    <row r="65" spans="2:27" x14ac:dyDescent="0.2">
      <c r="M65" s="31"/>
    </row>
    <row r="66" spans="2:27" x14ac:dyDescent="0.2">
      <c r="M66" s="31"/>
      <c r="W66" s="18"/>
      <c r="X66" s="18"/>
      <c r="Y66" s="18"/>
      <c r="Z66" s="18"/>
      <c r="AA66" s="18"/>
    </row>
    <row r="67" spans="2:27" x14ac:dyDescent="0.2">
      <c r="M67" s="31"/>
    </row>
    <row r="68" spans="2:27" x14ac:dyDescent="0.2">
      <c r="M68" s="31"/>
    </row>
    <row r="69" spans="2:27" x14ac:dyDescent="0.2">
      <c r="M69" s="31"/>
    </row>
    <row r="70" spans="2:27" x14ac:dyDescent="0.2">
      <c r="B70" s="85"/>
      <c r="C70" s="86"/>
      <c r="D70" s="86"/>
      <c r="G70" s="42"/>
      <c r="H70" s="42"/>
      <c r="I70" s="42"/>
      <c r="J70" s="42"/>
      <c r="K70" s="42"/>
      <c r="L70" s="42"/>
      <c r="M70" s="31"/>
    </row>
    <row r="71" spans="2:27" x14ac:dyDescent="0.2">
      <c r="B71" s="85"/>
      <c r="C71" s="86"/>
      <c r="D71" s="86"/>
      <c r="E71" s="42"/>
      <c r="F71" s="42"/>
      <c r="G71" s="42"/>
      <c r="H71" s="42"/>
      <c r="I71" s="42"/>
      <c r="J71" s="42"/>
      <c r="K71" s="42"/>
      <c r="L71" s="42"/>
      <c r="M71" s="31"/>
    </row>
    <row r="72" spans="2:27" x14ac:dyDescent="0.2">
      <c r="B72" s="85"/>
      <c r="C72" s="86"/>
      <c r="D72" s="86"/>
      <c r="E72" s="42"/>
      <c r="F72" s="42"/>
      <c r="G72" s="42"/>
      <c r="H72" s="42"/>
      <c r="I72" s="42"/>
      <c r="J72" s="42"/>
      <c r="K72" s="42"/>
      <c r="L72" s="42"/>
      <c r="M72" s="31"/>
    </row>
    <row r="73" spans="2:27" x14ac:dyDescent="0.2">
      <c r="B73" s="88"/>
      <c r="C73" s="53"/>
      <c r="D73" s="53"/>
      <c r="E73" s="53"/>
      <c r="F73" s="53"/>
      <c r="G73" s="53"/>
      <c r="H73" s="53"/>
      <c r="I73" s="53"/>
      <c r="J73" s="53"/>
      <c r="K73" s="53"/>
      <c r="L73" s="53"/>
      <c r="M73" s="31"/>
    </row>
    <row r="74" spans="2:27" x14ac:dyDescent="0.2">
      <c r="B74" s="25"/>
      <c r="C74" s="25"/>
      <c r="D74" s="25"/>
      <c r="E74" s="25"/>
      <c r="F74" s="25"/>
      <c r="G74" s="25"/>
      <c r="H74" s="25"/>
      <c r="I74" s="25"/>
      <c r="J74" s="25"/>
      <c r="K74" s="25"/>
      <c r="L74" s="25"/>
      <c r="M74" s="31"/>
    </row>
    <row r="75" spans="2:27" x14ac:dyDescent="0.2">
      <c r="M75" s="31"/>
    </row>
    <row r="76" spans="2:27" x14ac:dyDescent="0.2">
      <c r="M76" s="31"/>
    </row>
    <row r="77" spans="2:27" x14ac:dyDescent="0.2">
      <c r="M77" s="31"/>
      <c r="T77" s="31"/>
    </row>
    <row r="83" spans="2:27" x14ac:dyDescent="0.2">
      <c r="W83" s="98"/>
      <c r="X83" s="98"/>
      <c r="Y83" s="98"/>
      <c r="Z83" s="98"/>
      <c r="AA83" s="98"/>
    </row>
    <row r="84" spans="2:27" x14ac:dyDescent="0.2">
      <c r="B84" s="85"/>
      <c r="C84" s="86"/>
      <c r="D84" s="86"/>
      <c r="E84" s="87"/>
      <c r="F84" s="42"/>
      <c r="G84" s="42"/>
      <c r="H84" s="42"/>
      <c r="I84" s="42"/>
      <c r="J84" s="42"/>
      <c r="K84" s="42"/>
      <c r="L84" s="42"/>
    </row>
  </sheetData>
  <mergeCells count="137">
    <mergeCell ref="B3:L4"/>
    <mergeCell ref="E5:L5"/>
    <mergeCell ref="I6:L6"/>
    <mergeCell ref="E6:H6"/>
    <mergeCell ref="E7:E8"/>
    <mergeCell ref="G45:H45"/>
    <mergeCell ref="E43:E44"/>
    <mergeCell ref="F43:F44"/>
    <mergeCell ref="G43:H44"/>
    <mergeCell ref="B41:C41"/>
    <mergeCell ref="L7:L8"/>
    <mergeCell ref="H7:H8"/>
    <mergeCell ref="B9:D9"/>
    <mergeCell ref="B8:D8"/>
    <mergeCell ref="B7:C7"/>
    <mergeCell ref="B5:D6"/>
    <mergeCell ref="I7:I8"/>
    <mergeCell ref="B32:D32"/>
    <mergeCell ref="E24:E25"/>
    <mergeCell ref="L24:L25"/>
    <mergeCell ref="B25:D25"/>
    <mergeCell ref="B26:D26"/>
    <mergeCell ref="I24:I25"/>
    <mergeCell ref="J24:J25"/>
    <mergeCell ref="B12:D12"/>
    <mergeCell ref="B11:D11"/>
    <mergeCell ref="AE19:AG19"/>
    <mergeCell ref="AE20:AG20"/>
    <mergeCell ref="AC31:AD31"/>
    <mergeCell ref="AE31:AF31"/>
    <mergeCell ref="B29:D29"/>
    <mergeCell ref="B31:D31"/>
    <mergeCell ref="B30:D30"/>
    <mergeCell ref="H24:H25"/>
    <mergeCell ref="AC16:AD16"/>
    <mergeCell ref="AC12:AD12"/>
    <mergeCell ref="O14:Z15"/>
    <mergeCell ref="B28:D28"/>
    <mergeCell ref="E22:L22"/>
    <mergeCell ref="B13:D13"/>
    <mergeCell ref="B14:D14"/>
    <mergeCell ref="B27:D27"/>
    <mergeCell ref="AE14:AG14"/>
    <mergeCell ref="AE15:AG15"/>
    <mergeCell ref="AE16:AG16"/>
    <mergeCell ref="AE12:AG12"/>
    <mergeCell ref="G24:G25"/>
    <mergeCell ref="B24:C24"/>
    <mergeCell ref="AE37:AF37"/>
    <mergeCell ref="AC35:AD35"/>
    <mergeCell ref="AC17:AD17"/>
    <mergeCell ref="AC18:AD18"/>
    <mergeCell ref="AC25:AF27"/>
    <mergeCell ref="AC29:AD29"/>
    <mergeCell ref="AC28:AD28"/>
    <mergeCell ref="AE28:AF28"/>
    <mergeCell ref="AE38:AF38"/>
    <mergeCell ref="AE33:AF33"/>
    <mergeCell ref="AC34:AD34"/>
    <mergeCell ref="AE34:AF34"/>
    <mergeCell ref="AC33:AD33"/>
    <mergeCell ref="AC32:AD32"/>
    <mergeCell ref="AE18:AG18"/>
    <mergeCell ref="AE17:AG17"/>
    <mergeCell ref="AE32:AF32"/>
    <mergeCell ref="AE29:AF29"/>
    <mergeCell ref="AC30:AD30"/>
    <mergeCell ref="AE30:AF30"/>
    <mergeCell ref="AE35:AF35"/>
    <mergeCell ref="AC36:AD36"/>
    <mergeCell ref="AE36:AF36"/>
    <mergeCell ref="AC37:AD37"/>
    <mergeCell ref="AE13:AG13"/>
    <mergeCell ref="K24:K25"/>
    <mergeCell ref="B57:D57"/>
    <mergeCell ref="G57:H57"/>
    <mergeCell ref="K55:L56"/>
    <mergeCell ref="K57:L57"/>
    <mergeCell ref="AC13:AD13"/>
    <mergeCell ref="AC19:AD19"/>
    <mergeCell ref="AC20:AD20"/>
    <mergeCell ref="I43:I44"/>
    <mergeCell ref="AC15:AD15"/>
    <mergeCell ref="AC38:AD38"/>
    <mergeCell ref="I39:L39"/>
    <mergeCell ref="E40:F42"/>
    <mergeCell ref="G40:H42"/>
    <mergeCell ref="K40:L42"/>
    <mergeCell ref="B45:D45"/>
    <mergeCell ref="B42:D44"/>
    <mergeCell ref="I55:I56"/>
    <mergeCell ref="J55:J56"/>
    <mergeCell ref="I52:J54"/>
    <mergeCell ref="K52:L54"/>
    <mergeCell ref="B53:C53"/>
    <mergeCell ref="B54:D56"/>
    <mergeCell ref="E55:E56"/>
    <mergeCell ref="F55:F56"/>
    <mergeCell ref="G55:H56"/>
    <mergeCell ref="B49:L50"/>
    <mergeCell ref="B33:L33"/>
    <mergeCell ref="J43:J44"/>
    <mergeCell ref="K43:L44"/>
    <mergeCell ref="K45:L45"/>
    <mergeCell ref="I40:J42"/>
    <mergeCell ref="B37:L38"/>
    <mergeCell ref="B39:D40"/>
    <mergeCell ref="E39:H39"/>
    <mergeCell ref="B51:D52"/>
    <mergeCell ref="E51:H51"/>
    <mergeCell ref="I51:L51"/>
    <mergeCell ref="E52:F54"/>
    <mergeCell ref="G52:H54"/>
    <mergeCell ref="F24:F25"/>
    <mergeCell ref="AC6:AG7"/>
    <mergeCell ref="B16:L16"/>
    <mergeCell ref="B15:D15"/>
    <mergeCell ref="E23:H23"/>
    <mergeCell ref="I23:L23"/>
    <mergeCell ref="B22:D23"/>
    <mergeCell ref="AC8:AD9"/>
    <mergeCell ref="AE10:AG10"/>
    <mergeCell ref="AE11:AG11"/>
    <mergeCell ref="AC10:AD10"/>
    <mergeCell ref="O20:T21"/>
    <mergeCell ref="AC14:AD14"/>
    <mergeCell ref="O6:Z7"/>
    <mergeCell ref="O8:O9"/>
    <mergeCell ref="P8:Z8"/>
    <mergeCell ref="F7:F8"/>
    <mergeCell ref="B10:D10"/>
    <mergeCell ref="G7:G8"/>
    <mergeCell ref="J7:J8"/>
    <mergeCell ref="K7:K8"/>
    <mergeCell ref="AE8:AG9"/>
    <mergeCell ref="B20:L21"/>
    <mergeCell ref="AC11:AD11"/>
  </mergeCells>
  <dataValidations count="1">
    <dataValidation type="list" allowBlank="1" showInputMessage="1" showErrorMessage="1" sqref="D53 D41 D24 D7" xr:uid="{00000000-0002-0000-0500-000000000000}">
      <formula1>Local</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B1:L45"/>
  <sheetViews>
    <sheetView workbookViewId="0">
      <selection activeCell="AE34" sqref="AE34:AF34"/>
    </sheetView>
  </sheetViews>
  <sheetFormatPr defaultRowHeight="12.75" x14ac:dyDescent="0.2"/>
  <cols>
    <col min="2" max="28" width="12.7109375" customWidth="1"/>
  </cols>
  <sheetData>
    <row r="1" spans="2:12" x14ac:dyDescent="0.2">
      <c r="B1" s="120" t="s">
        <v>297</v>
      </c>
    </row>
    <row r="2" spans="2:12" ht="13.5" thickBot="1" x14ac:dyDescent="0.25"/>
    <row r="3" spans="2:12" ht="13.5" thickTop="1" x14ac:dyDescent="0.2">
      <c r="B3" s="683" t="s">
        <v>326</v>
      </c>
      <c r="C3" s="687"/>
      <c r="D3" s="687"/>
      <c r="E3" s="687"/>
      <c r="F3" s="687"/>
      <c r="G3" s="687"/>
      <c r="H3" s="687"/>
      <c r="I3" s="687"/>
      <c r="J3" s="687"/>
      <c r="K3" s="687"/>
      <c r="L3" s="687"/>
    </row>
    <row r="4" spans="2:12" ht="13.5" thickBot="1" x14ac:dyDescent="0.25">
      <c r="B4" s="688"/>
      <c r="C4" s="688"/>
      <c r="D4" s="688"/>
      <c r="E4" s="688"/>
      <c r="F4" s="688"/>
      <c r="G4" s="688"/>
      <c r="H4" s="688"/>
      <c r="I4" s="688"/>
      <c r="J4" s="688"/>
      <c r="K4" s="688"/>
      <c r="L4" s="688"/>
    </row>
    <row r="5" spans="2:12" x14ac:dyDescent="0.2">
      <c r="B5" s="673" t="s">
        <v>64</v>
      </c>
      <c r="C5" s="752"/>
      <c r="D5" s="753"/>
      <c r="E5" s="736" t="s">
        <v>186</v>
      </c>
      <c r="F5" s="736"/>
      <c r="G5" s="736"/>
      <c r="H5" s="736"/>
      <c r="I5" s="736"/>
      <c r="J5" s="736"/>
      <c r="K5" s="708"/>
      <c r="L5" s="709"/>
    </row>
    <row r="6" spans="2:12" x14ac:dyDescent="0.2">
      <c r="B6" s="675"/>
      <c r="C6" s="675"/>
      <c r="D6" s="676"/>
      <c r="E6" s="670" t="s">
        <v>62</v>
      </c>
      <c r="F6" s="670"/>
      <c r="G6" s="670"/>
      <c r="H6" s="427"/>
      <c r="I6" s="671" t="s">
        <v>63</v>
      </c>
      <c r="J6" s="427"/>
      <c r="K6" s="427"/>
      <c r="L6" s="672"/>
    </row>
    <row r="7" spans="2:12" x14ac:dyDescent="0.2">
      <c r="B7" s="748" t="s">
        <v>90</v>
      </c>
      <c r="C7" s="719"/>
      <c r="D7" s="123" t="s">
        <v>89</v>
      </c>
      <c r="E7" s="739" t="s">
        <v>39</v>
      </c>
      <c r="F7" s="664" t="s">
        <v>80</v>
      </c>
      <c r="G7" s="664" t="s">
        <v>193</v>
      </c>
      <c r="H7" s="664" t="s">
        <v>194</v>
      </c>
      <c r="I7" s="739" t="s">
        <v>39</v>
      </c>
      <c r="J7" s="664" t="s">
        <v>80</v>
      </c>
      <c r="K7" s="664" t="s">
        <v>193</v>
      </c>
      <c r="L7" s="741" t="s">
        <v>194</v>
      </c>
    </row>
    <row r="8" spans="2:12" ht="13.5" thickBot="1" x14ac:dyDescent="0.25">
      <c r="B8" s="560"/>
      <c r="C8" s="560"/>
      <c r="D8" s="426"/>
      <c r="E8" s="754"/>
      <c r="F8" s="743"/>
      <c r="G8" s="743"/>
      <c r="H8" s="743"/>
      <c r="I8" s="754"/>
      <c r="J8" s="743"/>
      <c r="K8" s="743"/>
      <c r="L8" s="751"/>
    </row>
    <row r="9" spans="2:12" x14ac:dyDescent="0.2">
      <c r="B9" s="749" t="s">
        <v>239</v>
      </c>
      <c r="C9" s="750"/>
      <c r="D9" s="750"/>
      <c r="E9" s="750"/>
      <c r="F9" s="750"/>
      <c r="G9" s="750"/>
      <c r="H9" s="750"/>
      <c r="I9" s="750"/>
      <c r="J9" s="750"/>
      <c r="K9" s="750"/>
      <c r="L9" s="750"/>
    </row>
    <row r="10" spans="2:12" x14ac:dyDescent="0.2">
      <c r="B10" s="693" t="s">
        <v>187</v>
      </c>
      <c r="C10" s="694"/>
      <c r="D10" s="694"/>
      <c r="E10" s="81">
        <v>2.9000000000000001E-2</v>
      </c>
      <c r="F10" s="81">
        <v>4.2999999999999997E-2</v>
      </c>
      <c r="G10" s="81">
        <v>5.1999999999999998E-2</v>
      </c>
      <c r="H10" s="3">
        <v>0.02</v>
      </c>
      <c r="I10" s="125"/>
      <c r="J10" s="125">
        <v>0.1</v>
      </c>
      <c r="K10" s="125">
        <v>0.2</v>
      </c>
      <c r="L10" s="126">
        <v>0.3</v>
      </c>
    </row>
    <row r="11" spans="2:12" x14ac:dyDescent="0.2">
      <c r="B11" s="693" t="s">
        <v>188</v>
      </c>
      <c r="C11" s="694"/>
      <c r="D11" s="694"/>
      <c r="E11" s="3">
        <v>0.13300000000000001</v>
      </c>
      <c r="F11" s="3">
        <v>5.8000000000000003E-2</v>
      </c>
      <c r="G11" s="3">
        <v>5.7000000000000002E-2</v>
      </c>
      <c r="H11" s="3">
        <v>0.17899999999999999</v>
      </c>
      <c r="I11" s="125"/>
      <c r="J11" s="125"/>
      <c r="K11" s="125"/>
      <c r="L11" s="126"/>
    </row>
    <row r="12" spans="2:12" x14ac:dyDescent="0.2">
      <c r="B12" s="693" t="s">
        <v>189</v>
      </c>
      <c r="C12" s="694"/>
      <c r="D12" s="694"/>
      <c r="E12" s="3">
        <v>0.28899999999999998</v>
      </c>
      <c r="F12" s="3">
        <v>0.247</v>
      </c>
      <c r="G12" s="3">
        <v>0.14199999999999999</v>
      </c>
      <c r="H12" s="3">
        <v>0.315</v>
      </c>
      <c r="I12" s="125"/>
      <c r="J12" s="125"/>
      <c r="K12" s="125"/>
      <c r="L12" s="126"/>
    </row>
    <row r="13" spans="2:12" x14ac:dyDescent="0.2">
      <c r="B13" s="693" t="s">
        <v>190</v>
      </c>
      <c r="C13" s="694"/>
      <c r="D13" s="694"/>
      <c r="E13" s="3">
        <v>0.26300000000000001</v>
      </c>
      <c r="F13" s="3">
        <v>0.36899999999999999</v>
      </c>
      <c r="G13" s="3">
        <v>0.38100000000000001</v>
      </c>
      <c r="H13" s="3">
        <v>0.19800000000000001</v>
      </c>
      <c r="I13" s="125"/>
      <c r="J13" s="125"/>
      <c r="K13" s="125"/>
      <c r="L13" s="126"/>
    </row>
    <row r="14" spans="2:12" x14ac:dyDescent="0.2">
      <c r="B14" s="693" t="s">
        <v>191</v>
      </c>
      <c r="C14" s="694"/>
      <c r="D14" s="694"/>
      <c r="E14" s="3">
        <v>0.23400000000000001</v>
      </c>
      <c r="F14" s="3">
        <v>0.219</v>
      </c>
      <c r="G14" s="3">
        <v>0.28399999999999997</v>
      </c>
      <c r="H14" s="3">
        <v>0.24399999999999999</v>
      </c>
      <c r="I14" s="125"/>
      <c r="J14" s="125"/>
      <c r="K14" s="125"/>
      <c r="L14" s="126"/>
    </row>
    <row r="15" spans="2:12" ht="13.5" thickBot="1" x14ac:dyDescent="0.25">
      <c r="B15" s="731" t="s">
        <v>192</v>
      </c>
      <c r="C15" s="732"/>
      <c r="D15" s="732"/>
      <c r="E15" s="62">
        <v>5.1999999999999998E-2</v>
      </c>
      <c r="F15" s="62">
        <v>6.4000000000000001E-2</v>
      </c>
      <c r="G15" s="62">
        <v>8.4000000000000005E-2</v>
      </c>
      <c r="H15" s="62">
        <v>4.3999999999999997E-2</v>
      </c>
      <c r="I15" s="131"/>
      <c r="J15" s="131"/>
      <c r="K15" s="131"/>
      <c r="L15" s="132"/>
    </row>
    <row r="16" spans="2:12" ht="14.25" thickTop="1" thickBot="1" x14ac:dyDescent="0.25">
      <c r="B16" s="668" t="s">
        <v>212</v>
      </c>
      <c r="C16" s="669"/>
      <c r="D16" s="669"/>
      <c r="E16" s="101">
        <v>0.5</v>
      </c>
      <c r="F16" s="101"/>
      <c r="G16" s="101"/>
      <c r="H16" s="101"/>
      <c r="I16" s="129">
        <v>0.33</v>
      </c>
      <c r="J16" s="129"/>
      <c r="K16" s="129"/>
      <c r="L16" s="130"/>
    </row>
    <row r="17" spans="2:12" x14ac:dyDescent="0.2">
      <c r="B17" s="749" t="s">
        <v>238</v>
      </c>
      <c r="C17" s="750"/>
      <c r="D17" s="750"/>
      <c r="E17" s="750"/>
      <c r="F17" s="750"/>
      <c r="G17" s="750"/>
      <c r="H17" s="750"/>
      <c r="I17" s="750"/>
      <c r="J17" s="750"/>
      <c r="K17" s="750"/>
      <c r="L17" s="750"/>
    </row>
    <row r="18" spans="2:12" x14ac:dyDescent="0.2">
      <c r="B18" s="693" t="s">
        <v>187</v>
      </c>
      <c r="C18" s="694"/>
      <c r="D18" s="694"/>
      <c r="E18" s="81">
        <v>1.6E-2</v>
      </c>
      <c r="F18" s="81">
        <v>1.7999999999999999E-2</v>
      </c>
      <c r="G18" s="81">
        <v>2.3E-2</v>
      </c>
      <c r="H18" s="3">
        <v>1.4999999999999999E-2</v>
      </c>
      <c r="I18" s="125"/>
      <c r="J18" s="125">
        <v>0.4</v>
      </c>
      <c r="K18" s="125">
        <v>0.5</v>
      </c>
      <c r="L18" s="126">
        <v>0.6</v>
      </c>
    </row>
    <row r="19" spans="2:12" x14ac:dyDescent="0.2">
      <c r="B19" s="693" t="s">
        <v>188</v>
      </c>
      <c r="C19" s="694"/>
      <c r="D19" s="694"/>
      <c r="E19" s="3">
        <v>0.107</v>
      </c>
      <c r="F19" s="3">
        <v>4.2000000000000003E-2</v>
      </c>
      <c r="G19" s="3">
        <v>0.04</v>
      </c>
      <c r="H19" s="3">
        <v>0.156</v>
      </c>
      <c r="I19" s="125"/>
      <c r="J19" s="125"/>
      <c r="K19" s="125"/>
      <c r="L19" s="126"/>
    </row>
    <row r="20" spans="2:12" x14ac:dyDescent="0.2">
      <c r="B20" s="693" t="s">
        <v>189</v>
      </c>
      <c r="C20" s="694"/>
      <c r="D20" s="694"/>
      <c r="E20" s="3">
        <v>0.22800000000000001</v>
      </c>
      <c r="F20" s="3">
        <v>0.21299999999999999</v>
      </c>
      <c r="G20" s="3">
        <v>0.108</v>
      </c>
      <c r="H20" s="3">
        <v>0.24</v>
      </c>
      <c r="I20" s="125"/>
      <c r="J20" s="125"/>
      <c r="K20" s="125"/>
      <c r="L20" s="126"/>
    </row>
    <row r="21" spans="2:12" x14ac:dyDescent="0.2">
      <c r="B21" s="693" t="s">
        <v>190</v>
      </c>
      <c r="C21" s="694"/>
      <c r="D21" s="694"/>
      <c r="E21" s="3">
        <v>0.39500000000000002</v>
      </c>
      <c r="F21" s="3">
        <v>0.53400000000000003</v>
      </c>
      <c r="G21" s="3">
        <v>0.57099999999999995</v>
      </c>
      <c r="H21" s="3">
        <v>0.29199999999999998</v>
      </c>
      <c r="I21" s="125"/>
      <c r="J21" s="125"/>
      <c r="K21" s="125"/>
      <c r="L21" s="126"/>
    </row>
    <row r="22" spans="2:12" x14ac:dyDescent="0.2">
      <c r="B22" s="693" t="s">
        <v>191</v>
      </c>
      <c r="C22" s="694"/>
      <c r="D22" s="694"/>
      <c r="E22" s="3">
        <v>0.20200000000000001</v>
      </c>
      <c r="F22" s="3">
        <v>0.14799999999999999</v>
      </c>
      <c r="G22" s="3">
        <v>0.19900000000000001</v>
      </c>
      <c r="H22" s="3">
        <v>0.24299999999999999</v>
      </c>
      <c r="I22" s="125"/>
      <c r="J22" s="125"/>
      <c r="K22" s="125"/>
      <c r="L22" s="126"/>
    </row>
    <row r="23" spans="2:12" ht="13.5" thickBot="1" x14ac:dyDescent="0.25">
      <c r="B23" s="731" t="s">
        <v>192</v>
      </c>
      <c r="C23" s="732"/>
      <c r="D23" s="732"/>
      <c r="E23" s="62">
        <v>5.1999999999999998E-2</v>
      </c>
      <c r="F23" s="62">
        <v>4.4999999999999998E-2</v>
      </c>
      <c r="G23" s="62">
        <v>5.8999999999999997E-2</v>
      </c>
      <c r="H23" s="62">
        <v>5.3999999999999999E-2</v>
      </c>
      <c r="I23" s="131"/>
      <c r="J23" s="131"/>
      <c r="K23" s="131"/>
      <c r="L23" s="132"/>
    </row>
    <row r="24" spans="2:12" ht="14.25" thickTop="1" thickBot="1" x14ac:dyDescent="0.25">
      <c r="B24" s="668" t="s">
        <v>212</v>
      </c>
      <c r="C24" s="669"/>
      <c r="D24" s="669"/>
      <c r="E24" s="101">
        <v>0.5</v>
      </c>
      <c r="F24" s="101"/>
      <c r="G24" s="101"/>
      <c r="H24" s="101"/>
      <c r="I24" s="129">
        <v>0.33</v>
      </c>
      <c r="J24" s="129"/>
      <c r="K24" s="129"/>
      <c r="L24" s="130"/>
    </row>
    <row r="25" spans="2:12" x14ac:dyDescent="0.2">
      <c r="B25" s="749" t="s">
        <v>79</v>
      </c>
      <c r="C25" s="750"/>
      <c r="D25" s="750"/>
      <c r="E25" s="750"/>
      <c r="F25" s="750"/>
      <c r="G25" s="750"/>
      <c r="H25" s="750"/>
      <c r="I25" s="750"/>
      <c r="J25" s="750"/>
      <c r="K25" s="750"/>
      <c r="L25" s="750"/>
    </row>
    <row r="26" spans="2:12" x14ac:dyDescent="0.2">
      <c r="B26" s="693" t="s">
        <v>187</v>
      </c>
      <c r="C26" s="694"/>
      <c r="D26" s="694"/>
      <c r="E26" s="81">
        <v>5.3999999999999999E-2</v>
      </c>
      <c r="F26" s="81">
        <v>8.3000000000000004E-2</v>
      </c>
      <c r="G26" s="81">
        <v>9.2999999999999999E-2</v>
      </c>
      <c r="H26" s="3">
        <v>3.4000000000000002E-2</v>
      </c>
      <c r="I26" s="125"/>
      <c r="J26" s="125">
        <v>0.7</v>
      </c>
      <c r="K26" s="125">
        <v>0.8</v>
      </c>
      <c r="L26" s="126">
        <v>0.9</v>
      </c>
    </row>
    <row r="27" spans="2:12" x14ac:dyDescent="0.2">
      <c r="B27" s="693" t="s">
        <v>188</v>
      </c>
      <c r="C27" s="694"/>
      <c r="D27" s="694"/>
      <c r="E27" s="3">
        <v>0.106</v>
      </c>
      <c r="F27" s="3">
        <v>4.7E-2</v>
      </c>
      <c r="G27" s="3">
        <v>3.9E-2</v>
      </c>
      <c r="H27" s="3">
        <v>0.14699999999999999</v>
      </c>
      <c r="I27" s="125"/>
      <c r="J27" s="125"/>
      <c r="K27" s="125"/>
      <c r="L27" s="126"/>
    </row>
    <row r="28" spans="2:12" x14ac:dyDescent="0.2">
      <c r="B28" s="693" t="s">
        <v>189</v>
      </c>
      <c r="C28" s="694"/>
      <c r="D28" s="694"/>
      <c r="E28" s="3">
        <v>0.49199999999999999</v>
      </c>
      <c r="F28" s="3">
        <v>0.47199999999999998</v>
      </c>
      <c r="G28" s="3">
        <v>0.314</v>
      </c>
      <c r="H28" s="3">
        <v>0.505</v>
      </c>
      <c r="I28" s="125"/>
      <c r="J28" s="125"/>
      <c r="K28" s="125"/>
      <c r="L28" s="126"/>
    </row>
    <row r="29" spans="2:12" x14ac:dyDescent="0.2">
      <c r="B29" s="693" t="s">
        <v>190</v>
      </c>
      <c r="C29" s="694"/>
      <c r="D29" s="694"/>
      <c r="E29" s="3">
        <v>0.25600000000000001</v>
      </c>
      <c r="F29" s="3">
        <v>0.315</v>
      </c>
      <c r="G29" s="3">
        <v>0.40699999999999997</v>
      </c>
      <c r="H29" s="3">
        <v>0.215</v>
      </c>
      <c r="I29" s="125"/>
      <c r="J29" s="125"/>
      <c r="K29" s="125"/>
      <c r="L29" s="126"/>
    </row>
    <row r="30" spans="2:12" x14ac:dyDescent="0.2">
      <c r="B30" s="693" t="s">
        <v>191</v>
      </c>
      <c r="C30" s="694"/>
      <c r="D30" s="694"/>
      <c r="E30" s="3">
        <v>6.2E-2</v>
      </c>
      <c r="F30" s="3">
        <v>4.1000000000000002E-2</v>
      </c>
      <c r="G30" s="3">
        <v>7.8E-2</v>
      </c>
      <c r="H30" s="3">
        <v>7.6999999999999999E-2</v>
      </c>
      <c r="I30" s="125"/>
      <c r="J30" s="125"/>
      <c r="K30" s="125"/>
      <c r="L30" s="126"/>
    </row>
    <row r="31" spans="2:12" ht="13.5" thickBot="1" x14ac:dyDescent="0.25">
      <c r="B31" s="731" t="s">
        <v>192</v>
      </c>
      <c r="C31" s="732"/>
      <c r="D31" s="732"/>
      <c r="E31" s="62">
        <v>0.03</v>
      </c>
      <c r="F31" s="62">
        <v>4.2000000000000003E-2</v>
      </c>
      <c r="G31" s="62">
        <v>6.9000000000000006E-2</v>
      </c>
      <c r="H31" s="62">
        <v>2.1999999999999999E-2</v>
      </c>
      <c r="I31" s="131"/>
      <c r="J31" s="131"/>
      <c r="K31" s="131"/>
      <c r="L31" s="132"/>
    </row>
    <row r="32" spans="2:12" ht="14.25" thickTop="1" thickBot="1" x14ac:dyDescent="0.25">
      <c r="B32" s="668" t="s">
        <v>212</v>
      </c>
      <c r="C32" s="669"/>
      <c r="D32" s="669"/>
      <c r="E32" s="101">
        <v>0.5</v>
      </c>
      <c r="F32" s="101"/>
      <c r="G32" s="101"/>
      <c r="H32" s="101"/>
      <c r="I32" s="129">
        <v>0.33</v>
      </c>
      <c r="J32" s="129"/>
      <c r="K32" s="129"/>
      <c r="L32" s="130"/>
    </row>
    <row r="33" spans="2:12" x14ac:dyDescent="0.2">
      <c r="B33" s="497" t="s">
        <v>155</v>
      </c>
      <c r="C33" s="498"/>
      <c r="D33" s="498"/>
      <c r="E33" s="498"/>
      <c r="F33" s="498"/>
      <c r="G33" s="498"/>
      <c r="H33" s="498"/>
      <c r="I33" s="498"/>
      <c r="J33" s="498"/>
      <c r="K33" s="498"/>
      <c r="L33" s="498"/>
    </row>
    <row r="34" spans="2:12" x14ac:dyDescent="0.2">
      <c r="B34" s="25"/>
      <c r="C34" s="25"/>
      <c r="D34" s="25"/>
      <c r="E34" s="42"/>
      <c r="F34" s="25"/>
      <c r="G34" s="25"/>
      <c r="H34" s="25"/>
      <c r="I34" s="25"/>
      <c r="J34" s="25"/>
      <c r="K34" s="25"/>
      <c r="L34" s="25"/>
    </row>
    <row r="35" spans="2:12" ht="13.5" thickBot="1" x14ac:dyDescent="0.25">
      <c r="B35" s="31"/>
      <c r="C35" s="31"/>
      <c r="D35" s="10"/>
      <c r="E35" s="10"/>
      <c r="F35" s="10"/>
      <c r="G35" s="10"/>
      <c r="H35" s="10"/>
      <c r="I35" s="10"/>
      <c r="J35" s="10"/>
      <c r="K35" s="10"/>
      <c r="L35" s="10"/>
    </row>
    <row r="36" spans="2:12" ht="13.5" thickTop="1" x14ac:dyDescent="0.2">
      <c r="B36" s="683" t="s">
        <v>345</v>
      </c>
      <c r="C36" s="683"/>
      <c r="D36" s="683"/>
      <c r="E36" s="683"/>
      <c r="F36" s="683"/>
      <c r="G36" s="683"/>
      <c r="H36" s="683"/>
      <c r="I36" s="683"/>
      <c r="J36" s="683"/>
      <c r="K36" s="687"/>
      <c r="L36" s="687"/>
    </row>
    <row r="37" spans="2:12" ht="13.5" thickBot="1" x14ac:dyDescent="0.25">
      <c r="B37" s="667"/>
      <c r="C37" s="667"/>
      <c r="D37" s="667"/>
      <c r="E37" s="667"/>
      <c r="F37" s="667"/>
      <c r="G37" s="667"/>
      <c r="H37" s="667"/>
      <c r="I37" s="667"/>
      <c r="J37" s="667"/>
      <c r="K37" s="688"/>
      <c r="L37" s="688"/>
    </row>
    <row r="38" spans="2:12" x14ac:dyDescent="0.2">
      <c r="B38" s="704" t="s">
        <v>85</v>
      </c>
      <c r="C38" s="705"/>
      <c r="D38" s="705"/>
      <c r="E38" s="706" t="s">
        <v>62</v>
      </c>
      <c r="F38" s="706"/>
      <c r="G38" s="706"/>
      <c r="H38" s="706"/>
      <c r="I38" s="707" t="s">
        <v>63</v>
      </c>
      <c r="J38" s="708"/>
      <c r="K38" s="708"/>
      <c r="L38" s="709"/>
    </row>
    <row r="39" spans="2:12" x14ac:dyDescent="0.2">
      <c r="B39" s="631"/>
      <c r="C39" s="630"/>
      <c r="D39" s="630"/>
      <c r="E39" s="651" t="s">
        <v>202</v>
      </c>
      <c r="F39" s="703"/>
      <c r="G39" s="651" t="s">
        <v>84</v>
      </c>
      <c r="H39" s="653"/>
      <c r="I39" s="651" t="s">
        <v>202</v>
      </c>
      <c r="J39" s="703"/>
      <c r="K39" s="651" t="s">
        <v>84</v>
      </c>
      <c r="L39" s="717"/>
    </row>
    <row r="40" spans="2:12" x14ac:dyDescent="0.2">
      <c r="B40" s="719" t="s">
        <v>90</v>
      </c>
      <c r="C40" s="438"/>
      <c r="D40" s="124" t="s">
        <v>89</v>
      </c>
      <c r="E40" s="703"/>
      <c r="F40" s="703"/>
      <c r="G40" s="653"/>
      <c r="H40" s="653"/>
      <c r="I40" s="703"/>
      <c r="J40" s="703"/>
      <c r="K40" s="653"/>
      <c r="L40" s="717"/>
    </row>
    <row r="41" spans="2:12" x14ac:dyDescent="0.2">
      <c r="B41" s="718"/>
      <c r="C41" s="427"/>
      <c r="D41" s="427"/>
      <c r="E41" s="653"/>
      <c r="F41" s="653"/>
      <c r="G41" s="653"/>
      <c r="H41" s="653"/>
      <c r="I41" s="653"/>
      <c r="J41" s="653"/>
      <c r="K41" s="653"/>
      <c r="L41" s="717"/>
    </row>
    <row r="42" spans="2:12" x14ac:dyDescent="0.2">
      <c r="B42" s="426"/>
      <c r="C42" s="427"/>
      <c r="D42" s="427"/>
      <c r="E42" s="699" t="s">
        <v>236</v>
      </c>
      <c r="F42" s="699" t="s">
        <v>204</v>
      </c>
      <c r="G42" s="648" t="s">
        <v>235</v>
      </c>
      <c r="H42" s="627"/>
      <c r="I42" s="699" t="s">
        <v>203</v>
      </c>
      <c r="J42" s="699" t="s">
        <v>204</v>
      </c>
      <c r="K42" s="648" t="s">
        <v>205</v>
      </c>
      <c r="L42" s="700"/>
    </row>
    <row r="43" spans="2:12" x14ac:dyDescent="0.2">
      <c r="B43" s="426"/>
      <c r="C43" s="427"/>
      <c r="D43" s="427"/>
      <c r="E43" s="627"/>
      <c r="F43" s="627"/>
      <c r="G43" s="627"/>
      <c r="H43" s="627"/>
      <c r="I43" s="627"/>
      <c r="J43" s="627"/>
      <c r="K43" s="627"/>
      <c r="L43" s="700"/>
    </row>
    <row r="44" spans="2:12" x14ac:dyDescent="0.2">
      <c r="B44" s="744" t="s">
        <v>99</v>
      </c>
      <c r="C44" s="438"/>
      <c r="D44" s="438"/>
      <c r="E44" s="104"/>
      <c r="F44" s="104"/>
      <c r="G44" s="745">
        <v>0.27600000000000002</v>
      </c>
      <c r="H44" s="438"/>
      <c r="I44" s="125"/>
      <c r="J44" s="125"/>
      <c r="K44" s="746"/>
      <c r="L44" s="747"/>
    </row>
    <row r="45" spans="2:12" ht="13.5" thickBot="1" x14ac:dyDescent="0.25">
      <c r="B45" s="710" t="s">
        <v>100</v>
      </c>
      <c r="C45" s="711"/>
      <c r="D45" s="711"/>
      <c r="E45" s="96"/>
      <c r="F45" s="96"/>
      <c r="G45" s="712">
        <v>0.27300000000000002</v>
      </c>
      <c r="H45" s="711"/>
      <c r="I45" s="131"/>
      <c r="J45" s="131"/>
      <c r="K45" s="701"/>
      <c r="L45" s="702"/>
    </row>
  </sheetData>
  <mergeCells count="62">
    <mergeCell ref="B3:L4"/>
    <mergeCell ref="B23:D23"/>
    <mergeCell ref="B24:D24"/>
    <mergeCell ref="B9:L9"/>
    <mergeCell ref="B5:D6"/>
    <mergeCell ref="E7:E8"/>
    <mergeCell ref="F7:F8"/>
    <mergeCell ref="E5:L5"/>
    <mergeCell ref="E6:H6"/>
    <mergeCell ref="I6:L6"/>
    <mergeCell ref="B19:D19"/>
    <mergeCell ref="I7:I8"/>
    <mergeCell ref="B14:D14"/>
    <mergeCell ref="B15:D15"/>
    <mergeCell ref="B16:D16"/>
    <mergeCell ref="B13:D13"/>
    <mergeCell ref="B30:D30"/>
    <mergeCell ref="B33:L33"/>
    <mergeCell ref="B31:D31"/>
    <mergeCell ref="B7:C7"/>
    <mergeCell ref="B17:L17"/>
    <mergeCell ref="B18:D18"/>
    <mergeCell ref="B27:D27"/>
    <mergeCell ref="B29:D29"/>
    <mergeCell ref="B20:D20"/>
    <mergeCell ref="B21:D21"/>
    <mergeCell ref="B22:D22"/>
    <mergeCell ref="B25:L25"/>
    <mergeCell ref="B26:D26"/>
    <mergeCell ref="B28:D28"/>
    <mergeCell ref="K7:K8"/>
    <mergeCell ref="L7:L8"/>
    <mergeCell ref="K45:L45"/>
    <mergeCell ref="K42:L43"/>
    <mergeCell ref="B44:D44"/>
    <mergeCell ref="G44:H44"/>
    <mergeCell ref="G42:H43"/>
    <mergeCell ref="I42:I43"/>
    <mergeCell ref="K44:L44"/>
    <mergeCell ref="J42:J43"/>
    <mergeCell ref="E42:E43"/>
    <mergeCell ref="F42:F43"/>
    <mergeCell ref="B45:D45"/>
    <mergeCell ref="G45:H45"/>
    <mergeCell ref="B12:D12"/>
    <mergeCell ref="G7:G8"/>
    <mergeCell ref="H7:H8"/>
    <mergeCell ref="J7:J8"/>
    <mergeCell ref="B8:D8"/>
    <mergeCell ref="B10:D10"/>
    <mergeCell ref="B11:D11"/>
    <mergeCell ref="B32:D32"/>
    <mergeCell ref="B40:C40"/>
    <mergeCell ref="B41:D43"/>
    <mergeCell ref="B36:L37"/>
    <mergeCell ref="G39:H41"/>
    <mergeCell ref="K39:L41"/>
    <mergeCell ref="I39:J41"/>
    <mergeCell ref="B38:D39"/>
    <mergeCell ref="E38:H38"/>
    <mergeCell ref="I38:L38"/>
    <mergeCell ref="E39:F41"/>
  </mergeCells>
  <dataValidations count="1">
    <dataValidation type="list" allowBlank="1" showInputMessage="1" showErrorMessage="1" sqref="D7 D40" xr:uid="{00000000-0002-0000-0800-000000000000}">
      <formula1>Local</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P47"/>
  <sheetViews>
    <sheetView workbookViewId="0">
      <selection activeCell="K46" sqref="K46"/>
    </sheetView>
  </sheetViews>
  <sheetFormatPr defaultRowHeight="12.75" x14ac:dyDescent="0.2"/>
  <cols>
    <col min="2" max="2" width="11.42578125" bestFit="1" customWidth="1"/>
    <col min="4" max="4" width="15.28515625" bestFit="1" customWidth="1"/>
    <col min="6" max="6" width="10.85546875" customWidth="1"/>
    <col min="8" max="8" width="12.7109375" bestFit="1" customWidth="1"/>
    <col min="10" max="10" width="15" customWidth="1"/>
    <col min="12" max="12" width="10.7109375" customWidth="1"/>
    <col min="14" max="14" width="11.5703125" bestFit="1" customWidth="1"/>
  </cols>
  <sheetData>
    <row r="3" spans="2:12" x14ac:dyDescent="0.2">
      <c r="B3" s="8" t="s">
        <v>56</v>
      </c>
      <c r="D3" s="8" t="s">
        <v>65</v>
      </c>
      <c r="F3" s="4" t="s">
        <v>66</v>
      </c>
    </row>
    <row r="4" spans="2:12" x14ac:dyDescent="0.2">
      <c r="B4" s="9">
        <v>9</v>
      </c>
      <c r="D4" s="9">
        <v>0</v>
      </c>
      <c r="F4" s="1">
        <v>1</v>
      </c>
    </row>
    <row r="5" spans="2:12" x14ac:dyDescent="0.2">
      <c r="B5" s="9">
        <v>9.5</v>
      </c>
      <c r="D5" s="9">
        <v>1</v>
      </c>
      <c r="F5" s="1">
        <v>2</v>
      </c>
    </row>
    <row r="6" spans="2:12" x14ac:dyDescent="0.2">
      <c r="B6" s="9">
        <v>10</v>
      </c>
      <c r="D6" s="9">
        <v>2</v>
      </c>
      <c r="F6" s="1">
        <v>3</v>
      </c>
    </row>
    <row r="7" spans="2:12" x14ac:dyDescent="0.2">
      <c r="B7" s="9">
        <v>10.5</v>
      </c>
      <c r="D7" s="9">
        <v>3</v>
      </c>
      <c r="F7" s="1">
        <v>4</v>
      </c>
    </row>
    <row r="8" spans="2:12" x14ac:dyDescent="0.2">
      <c r="B8" s="9">
        <v>11</v>
      </c>
      <c r="D8" s="9">
        <v>4</v>
      </c>
      <c r="F8" s="1">
        <v>5</v>
      </c>
    </row>
    <row r="9" spans="2:12" x14ac:dyDescent="0.2">
      <c r="B9" s="9">
        <v>11.5</v>
      </c>
      <c r="D9" s="9">
        <v>5</v>
      </c>
      <c r="F9" s="1">
        <v>6</v>
      </c>
    </row>
    <row r="10" spans="2:12" x14ac:dyDescent="0.2">
      <c r="B10" s="9">
        <v>12</v>
      </c>
      <c r="D10" s="9">
        <v>6</v>
      </c>
      <c r="F10" s="1">
        <v>7</v>
      </c>
    </row>
    <row r="11" spans="2:12" x14ac:dyDescent="0.2">
      <c r="D11" s="9">
        <v>7</v>
      </c>
    </row>
    <row r="12" spans="2:12" x14ac:dyDescent="0.2">
      <c r="D12" s="9">
        <v>8</v>
      </c>
    </row>
    <row r="15" spans="2:12" x14ac:dyDescent="0.2">
      <c r="H15" s="4" t="s">
        <v>74</v>
      </c>
      <c r="J15" s="4" t="s">
        <v>76</v>
      </c>
      <c r="L15" s="4" t="s">
        <v>87</v>
      </c>
    </row>
    <row r="16" spans="2:12" x14ac:dyDescent="0.2">
      <c r="D16" s="4" t="s">
        <v>55</v>
      </c>
      <c r="F16" s="4" t="s">
        <v>71</v>
      </c>
      <c r="H16" s="4" t="s">
        <v>75</v>
      </c>
      <c r="J16" s="4" t="s">
        <v>77</v>
      </c>
      <c r="L16" s="29" t="s">
        <v>88</v>
      </c>
    </row>
    <row r="17" spans="4:12" x14ac:dyDescent="0.2">
      <c r="D17" s="9" t="s">
        <v>67</v>
      </c>
      <c r="F17" s="9" t="s">
        <v>72</v>
      </c>
      <c r="H17" s="9" t="s">
        <v>72</v>
      </c>
      <c r="J17" s="9" t="s">
        <v>72</v>
      </c>
      <c r="L17" s="29" t="s">
        <v>89</v>
      </c>
    </row>
    <row r="18" spans="4:12" x14ac:dyDescent="0.2">
      <c r="D18" s="9" t="s">
        <v>68</v>
      </c>
      <c r="F18" s="9" t="s">
        <v>73</v>
      </c>
      <c r="H18" s="9" t="s">
        <v>73</v>
      </c>
      <c r="J18" s="9" t="s">
        <v>82</v>
      </c>
    </row>
    <row r="19" spans="4:12" x14ac:dyDescent="0.2">
      <c r="D19" s="29" t="s">
        <v>69</v>
      </c>
      <c r="J19" s="9" t="s">
        <v>83</v>
      </c>
    </row>
    <row r="20" spans="4:12" x14ac:dyDescent="0.2">
      <c r="D20" s="9" t="s">
        <v>70</v>
      </c>
    </row>
    <row r="22" spans="4:12" x14ac:dyDescent="0.2">
      <c r="F22" s="4" t="s">
        <v>57</v>
      </c>
      <c r="H22" s="4" t="s">
        <v>58</v>
      </c>
      <c r="J22" s="4" t="s">
        <v>78</v>
      </c>
    </row>
    <row r="23" spans="4:12" x14ac:dyDescent="0.2">
      <c r="F23" s="9" t="s">
        <v>72</v>
      </c>
      <c r="H23" s="9" t="s">
        <v>72</v>
      </c>
      <c r="J23" s="9" t="s">
        <v>72</v>
      </c>
    </row>
    <row r="24" spans="4:12" x14ac:dyDescent="0.2">
      <c r="F24" s="9" t="s">
        <v>73</v>
      </c>
      <c r="H24" s="9" t="s">
        <v>73</v>
      </c>
      <c r="J24" s="9" t="s">
        <v>73</v>
      </c>
    </row>
    <row r="28" spans="4:12" x14ac:dyDescent="0.2">
      <c r="D28" s="29" t="s">
        <v>98</v>
      </c>
      <c r="F28" s="29" t="s">
        <v>102</v>
      </c>
      <c r="H28" s="29" t="s">
        <v>103</v>
      </c>
      <c r="J28" s="29" t="s">
        <v>104</v>
      </c>
      <c r="L28" s="4" t="s">
        <v>108</v>
      </c>
    </row>
    <row r="29" spans="4:12" x14ac:dyDescent="0.2">
      <c r="D29" s="29" t="s">
        <v>99</v>
      </c>
      <c r="F29" s="1">
        <v>0</v>
      </c>
      <c r="H29" s="1">
        <v>0</v>
      </c>
      <c r="J29" s="29" t="s">
        <v>72</v>
      </c>
      <c r="L29" s="29" t="s">
        <v>88</v>
      </c>
    </row>
    <row r="30" spans="4:12" x14ac:dyDescent="0.2">
      <c r="D30" s="29" t="s">
        <v>100</v>
      </c>
      <c r="F30" s="1">
        <v>1</v>
      </c>
      <c r="H30" s="1">
        <v>1</v>
      </c>
      <c r="J30" s="29" t="s">
        <v>73</v>
      </c>
      <c r="L30" s="29" t="s">
        <v>89</v>
      </c>
    </row>
    <row r="31" spans="4:12" x14ac:dyDescent="0.2">
      <c r="D31" s="29" t="s">
        <v>101</v>
      </c>
      <c r="F31" s="1">
        <v>2</v>
      </c>
      <c r="H31" s="1">
        <v>2</v>
      </c>
    </row>
    <row r="32" spans="4:12" x14ac:dyDescent="0.2">
      <c r="F32" s="1">
        <v>3</v>
      </c>
      <c r="H32" s="1">
        <v>3</v>
      </c>
    </row>
    <row r="33" spans="4:16" x14ac:dyDescent="0.2">
      <c r="F33" s="1">
        <v>4</v>
      </c>
      <c r="H33" s="1">
        <v>4</v>
      </c>
    </row>
    <row r="36" spans="4:16" x14ac:dyDescent="0.2">
      <c r="D36" s="4" t="s">
        <v>182</v>
      </c>
      <c r="F36" s="4" t="s">
        <v>185</v>
      </c>
      <c r="H36" s="4" t="s">
        <v>309</v>
      </c>
      <c r="J36" s="4" t="s">
        <v>208</v>
      </c>
      <c r="L36" s="4" t="s">
        <v>233</v>
      </c>
      <c r="N36" s="8" t="s">
        <v>306</v>
      </c>
      <c r="P36" s="4" t="s">
        <v>320</v>
      </c>
    </row>
    <row r="37" spans="4:16" x14ac:dyDescent="0.2">
      <c r="D37" s="1">
        <v>10</v>
      </c>
      <c r="F37" s="29" t="s">
        <v>183</v>
      </c>
      <c r="H37" s="29" t="s">
        <v>197</v>
      </c>
      <c r="J37" s="9">
        <v>0</v>
      </c>
      <c r="L37" s="1">
        <v>0</v>
      </c>
      <c r="N37" s="1">
        <v>0</v>
      </c>
      <c r="P37" s="9">
        <v>0</v>
      </c>
    </row>
    <row r="38" spans="4:16" x14ac:dyDescent="0.2">
      <c r="D38" s="1">
        <v>20</v>
      </c>
      <c r="F38" s="29" t="s">
        <v>184</v>
      </c>
      <c r="H38" s="94" t="s">
        <v>308</v>
      </c>
      <c r="J38" s="9">
        <v>1</v>
      </c>
      <c r="L38" s="1">
        <v>1</v>
      </c>
      <c r="N38" s="1">
        <v>1</v>
      </c>
      <c r="P38" s="9">
        <v>1</v>
      </c>
    </row>
    <row r="39" spans="4:16" x14ac:dyDescent="0.2">
      <c r="D39" s="1">
        <v>30</v>
      </c>
      <c r="F39" s="1"/>
      <c r="H39" s="94" t="s">
        <v>198</v>
      </c>
      <c r="J39" s="9">
        <v>2</v>
      </c>
      <c r="L39" s="1">
        <v>2</v>
      </c>
      <c r="N39" s="1">
        <v>2</v>
      </c>
      <c r="P39" s="9">
        <v>2</v>
      </c>
    </row>
    <row r="40" spans="4:16" x14ac:dyDescent="0.2">
      <c r="D40" s="1">
        <v>40</v>
      </c>
      <c r="F40" s="1"/>
      <c r="H40" s="95" t="s">
        <v>199</v>
      </c>
      <c r="J40" s="9">
        <v>3</v>
      </c>
      <c r="N40" s="1">
        <v>3</v>
      </c>
      <c r="P40" s="9">
        <v>3</v>
      </c>
    </row>
    <row r="41" spans="4:16" x14ac:dyDescent="0.2">
      <c r="D41" s="1">
        <v>50</v>
      </c>
      <c r="F41" s="1"/>
      <c r="H41" s="95" t="s">
        <v>200</v>
      </c>
      <c r="J41" s="9">
        <v>4</v>
      </c>
      <c r="N41" s="1">
        <v>4</v>
      </c>
      <c r="P41" s="9">
        <v>4</v>
      </c>
    </row>
    <row r="42" spans="4:16" x14ac:dyDescent="0.2">
      <c r="D42" s="1">
        <v>60</v>
      </c>
      <c r="F42" s="1"/>
      <c r="H42" s="95" t="s">
        <v>201</v>
      </c>
      <c r="J42" s="9">
        <v>5</v>
      </c>
      <c r="P42" s="9">
        <v>5</v>
      </c>
    </row>
    <row r="43" spans="4:16" x14ac:dyDescent="0.2">
      <c r="D43" s="1">
        <v>70</v>
      </c>
      <c r="F43" s="1"/>
      <c r="J43" s="9">
        <v>6</v>
      </c>
      <c r="P43" s="9">
        <v>6</v>
      </c>
    </row>
    <row r="44" spans="4:16" x14ac:dyDescent="0.2">
      <c r="D44" s="1">
        <v>80</v>
      </c>
      <c r="F44" s="1"/>
      <c r="J44" s="9">
        <v>7</v>
      </c>
      <c r="P44" s="9">
        <v>7</v>
      </c>
    </row>
    <row r="45" spans="4:16" x14ac:dyDescent="0.2">
      <c r="D45" s="1">
        <v>90</v>
      </c>
      <c r="F45" s="1"/>
      <c r="J45" s="9">
        <v>8</v>
      </c>
      <c r="P45" s="9">
        <v>8</v>
      </c>
    </row>
    <row r="46" spans="4:16" x14ac:dyDescent="0.2">
      <c r="D46" s="1">
        <v>100</v>
      </c>
      <c r="J46" s="29">
        <v>9</v>
      </c>
    </row>
    <row r="47" spans="4:16" x14ac:dyDescent="0.2">
      <c r="J47" s="29">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613CFC582F114DAB03D5FFC9F029C5" ma:contentTypeVersion="4" ma:contentTypeDescription="Create a new document." ma:contentTypeScope="" ma:versionID="d71201cc6f15c036b2f9e906cb1f0d38">
  <xsd:schema xmlns:xsd="http://www.w3.org/2001/XMLSchema" xmlns:xs="http://www.w3.org/2001/XMLSchema" xmlns:p="http://schemas.microsoft.com/office/2006/metadata/properties" xmlns:ns1="http://schemas.microsoft.com/sharepoint/v3" xmlns:ns2="16f00c2e-ac5c-418b-9f13-a0771dbd417d" targetNamespace="http://schemas.microsoft.com/office/2006/metadata/properties" ma:root="true" ma:fieldsID="eddd77dd6eafec04f30e6f84b9d0b787" ns1:_="" ns2:_="">
    <xsd:import namespace="http://schemas.microsoft.com/sharepoint/v3"/>
    <xsd:import namespace="16f00c2e-ac5c-418b-9f13-a0771dbd417d"/>
    <xsd:element name="properties">
      <xsd:complexType>
        <xsd:sequence>
          <xsd:element name="documentManagement">
            <xsd:complexType>
              <xsd:all>
                <xsd:element ref="ns2:_dlc_DocId" minOccurs="0"/>
                <xsd:element ref="ns2:_dlc_DocIdUrl" minOccurs="0"/>
                <xsd:element ref="ns2:_dlc_DocIdPersistId"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1"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documentManagement>
</p:properties>
</file>

<file path=customXml/itemProps1.xml><?xml version="1.0" encoding="utf-8"?>
<ds:datastoreItem xmlns:ds="http://schemas.openxmlformats.org/officeDocument/2006/customXml" ds:itemID="{1530C626-4627-4AC6-9BDB-BED803212FC4}"/>
</file>

<file path=customXml/itemProps2.xml><?xml version="1.0" encoding="utf-8"?>
<ds:datastoreItem xmlns:ds="http://schemas.openxmlformats.org/officeDocument/2006/customXml" ds:itemID="{4CCD75E2-36EE-412E-8250-C221712AD29E}"/>
</file>

<file path=customXml/itemProps3.xml><?xml version="1.0" encoding="utf-8"?>
<ds:datastoreItem xmlns:ds="http://schemas.openxmlformats.org/officeDocument/2006/customXml" ds:itemID="{AFD1A239-D0E6-4C23-899A-CE66F5EE06EA}"/>
</file>

<file path=customXml/itemProps4.xml><?xml version="1.0" encoding="utf-8"?>
<ds:datastoreItem xmlns:ds="http://schemas.openxmlformats.org/officeDocument/2006/customXml" ds:itemID="{170EAE26-2012-4934-B1A9-7636D0F728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25</vt:i4>
      </vt:variant>
    </vt:vector>
  </HeadingPairs>
  <TitlesOfParts>
    <vt:vector size="34" baseType="lpstr">
      <vt:lpstr>Instructions</vt:lpstr>
      <vt:lpstr>Segment_Divided_1</vt:lpstr>
      <vt:lpstr>Segment_Undivided_1</vt:lpstr>
      <vt:lpstr>Intersection_1</vt:lpstr>
      <vt:lpstr>Summary Tables (Site Totals)</vt:lpstr>
      <vt:lpstr>Summary Tables (Project Total)</vt:lpstr>
      <vt:lpstr>Reference Tables (Segment)</vt:lpstr>
      <vt:lpstr>Reference Tables (Intersection)</vt:lpstr>
      <vt:lpstr>Construction - Do Not Delete</vt:lpstr>
      <vt:lpstr>CRumble</vt:lpstr>
      <vt:lpstr>Differ</vt:lpstr>
      <vt:lpstr>Division</vt:lpstr>
      <vt:lpstr>IApproach</vt:lpstr>
      <vt:lpstr>ILight</vt:lpstr>
      <vt:lpstr>IType</vt:lpstr>
      <vt:lpstr>LApproach</vt:lpstr>
      <vt:lpstr>Lighting</vt:lpstr>
      <vt:lpstr>Local</vt:lpstr>
      <vt:lpstr>LWidth</vt:lpstr>
      <vt:lpstr>MWidth</vt:lpstr>
      <vt:lpstr>PLane</vt:lpstr>
      <vt:lpstr>PLane2</vt:lpstr>
      <vt:lpstr>RApproach</vt:lpstr>
      <vt:lpstr>RHR</vt:lpstr>
      <vt:lpstr>RtApproach</vt:lpstr>
      <vt:lpstr>Shld2</vt:lpstr>
      <vt:lpstr>Shld3</vt:lpstr>
      <vt:lpstr>SpEnforce</vt:lpstr>
      <vt:lpstr>Spiral</vt:lpstr>
      <vt:lpstr>SSlope</vt:lpstr>
      <vt:lpstr>SSlope2</vt:lpstr>
      <vt:lpstr>SType</vt:lpstr>
      <vt:lpstr>SWidth</vt:lpstr>
      <vt:lpstr>TWLTL</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Dixon</dc:creator>
  <dc:description>Prepared for HSM Training -- NCHRP 17-38</dc:description>
  <cp:lastModifiedBy>Daniel L. Carter</cp:lastModifiedBy>
  <dcterms:created xsi:type="dcterms:W3CDTF">2009-11-22T21:24:43Z</dcterms:created>
  <dcterms:modified xsi:type="dcterms:W3CDTF">2021-04-26T18:42:07Z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0x01010007613CFC582F114DAB03D5FFC9F029C5</vt:lpwstr>
  </property>
  <property fmtid="{D5CDD505-2E9C-101B-9397-08002B2CF9AE}" pid="3" name="Order">
    <vt:r8>400</vt:r8>
  </property>
</Properties>
</file>